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2260" windowHeight="12645"/>
  </bookViews>
  <sheets>
    <sheet name="Plan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8" i="1" l="1"/>
  <c r="K237" i="1"/>
  <c r="J238" i="1"/>
  <c r="J237" i="1"/>
  <c r="I238" i="1"/>
  <c r="I237" i="1"/>
  <c r="H238" i="1"/>
  <c r="H237" i="1"/>
  <c r="G238" i="1"/>
  <c r="G237" i="1"/>
  <c r="F238" i="1"/>
  <c r="F237" i="1"/>
  <c r="E238" i="1"/>
  <c r="E237" i="1"/>
  <c r="D238" i="1"/>
  <c r="D237" i="1"/>
  <c r="K222" i="1"/>
  <c r="H222" i="1"/>
  <c r="D222" i="1"/>
  <c r="D209" i="1"/>
  <c r="L195" i="1"/>
  <c r="K194" i="1" l="1"/>
  <c r="K193" i="1"/>
  <c r="K192" i="1"/>
  <c r="K191" i="1"/>
  <c r="K190" i="1"/>
  <c r="K189" i="1"/>
  <c r="K188" i="1"/>
  <c r="K187" i="1"/>
  <c r="K186" i="1"/>
  <c r="J194" i="1"/>
  <c r="J193" i="1"/>
  <c r="J192" i="1"/>
  <c r="J191" i="1"/>
  <c r="J190" i="1"/>
  <c r="J189" i="1"/>
  <c r="J187" i="1"/>
  <c r="J188" i="1"/>
  <c r="J186" i="1"/>
  <c r="I194" i="1"/>
  <c r="I193" i="1"/>
  <c r="I192" i="1"/>
  <c r="I191" i="1"/>
  <c r="I190" i="1"/>
  <c r="I189" i="1"/>
  <c r="I188" i="1"/>
  <c r="I187" i="1"/>
  <c r="I186" i="1"/>
  <c r="H194" i="1"/>
  <c r="H193" i="1"/>
  <c r="H192" i="1"/>
  <c r="H191" i="1"/>
  <c r="H190" i="1"/>
  <c r="H189" i="1"/>
  <c r="H188" i="1"/>
  <c r="H187" i="1"/>
  <c r="H186" i="1"/>
  <c r="G194" i="1"/>
  <c r="G193" i="1"/>
  <c r="G192" i="1"/>
  <c r="G191" i="1"/>
  <c r="G190" i="1"/>
  <c r="G189" i="1"/>
  <c r="G188" i="1"/>
  <c r="G187" i="1"/>
  <c r="G186" i="1"/>
  <c r="F187" i="1"/>
  <c r="F188" i="1"/>
  <c r="F189" i="1"/>
  <c r="F190" i="1"/>
  <c r="F191" i="1"/>
  <c r="F192" i="1"/>
  <c r="F193" i="1"/>
  <c r="F194" i="1"/>
  <c r="F186" i="1"/>
  <c r="E194" i="1"/>
  <c r="E193" i="1"/>
  <c r="E192" i="1"/>
  <c r="E189" i="1"/>
  <c r="E190" i="1"/>
  <c r="E191" i="1"/>
  <c r="E188" i="1"/>
  <c r="E187" i="1"/>
  <c r="E186" i="1"/>
  <c r="D194" i="1"/>
  <c r="D193" i="1"/>
  <c r="D192" i="1"/>
  <c r="D191" i="1"/>
  <c r="D190" i="1"/>
  <c r="D189" i="1"/>
  <c r="D188" i="1"/>
  <c r="D187" i="1"/>
  <c r="D186" i="1"/>
  <c r="K178" i="1"/>
  <c r="H178" i="1"/>
  <c r="G178" i="1"/>
  <c r="L141" i="1"/>
  <c r="I56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40" i="1"/>
  <c r="J105" i="1"/>
  <c r="J106" i="1"/>
  <c r="J107" i="1"/>
  <c r="J108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G140" i="1"/>
  <c r="G139" i="1"/>
  <c r="G138" i="1"/>
  <c r="G137" i="1"/>
  <c r="G131" i="1"/>
  <c r="G132" i="1"/>
  <c r="G133" i="1"/>
  <c r="G134" i="1"/>
  <c r="G135" i="1"/>
  <c r="G136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7" i="1"/>
  <c r="G98" i="1"/>
  <c r="G99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77" i="1"/>
  <c r="G78" i="1"/>
  <c r="G79" i="1"/>
  <c r="G80" i="1"/>
  <c r="G81" i="1"/>
  <c r="G82" i="1"/>
  <c r="G83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48" i="1"/>
  <c r="G49" i="1"/>
  <c r="G50" i="1"/>
  <c r="G51" i="1"/>
  <c r="G47" i="1"/>
  <c r="G46" i="1"/>
  <c r="G45" i="1"/>
  <c r="G44" i="1"/>
  <c r="G43" i="1"/>
  <c r="G42" i="1"/>
  <c r="G41" i="1"/>
  <c r="F140" i="1"/>
  <c r="F139" i="1"/>
  <c r="F138" i="1"/>
  <c r="F137" i="1"/>
  <c r="F133" i="1"/>
  <c r="F134" i="1"/>
  <c r="F135" i="1"/>
  <c r="F136" i="1"/>
  <c r="F132" i="1"/>
  <c r="F131" i="1"/>
  <c r="F130" i="1"/>
  <c r="L145" i="1"/>
  <c r="L146" i="1"/>
  <c r="L153" i="1"/>
  <c r="L154" i="1"/>
  <c r="L161" i="1"/>
  <c r="L162" i="1"/>
  <c r="L169" i="1"/>
  <c r="L170" i="1"/>
  <c r="L177" i="1"/>
  <c r="L185" i="1"/>
  <c r="L201" i="1"/>
  <c r="L202" i="1"/>
  <c r="L209" i="1"/>
  <c r="L210" i="1"/>
  <c r="L217" i="1"/>
  <c r="L218" i="1"/>
  <c r="L225" i="1"/>
  <c r="L226" i="1"/>
  <c r="L233" i="1"/>
  <c r="L234" i="1"/>
  <c r="F129" i="1"/>
  <c r="F128" i="1"/>
  <c r="F127" i="1"/>
  <c r="F126" i="1"/>
  <c r="F122" i="1"/>
  <c r="F123" i="1"/>
  <c r="F124" i="1"/>
  <c r="F125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2" i="1"/>
  <c r="F103" i="1"/>
  <c r="F104" i="1"/>
  <c r="F105" i="1"/>
  <c r="F106" i="1"/>
  <c r="F107" i="1"/>
  <c r="F108" i="1"/>
  <c r="F101" i="1"/>
  <c r="F100" i="1"/>
  <c r="F99" i="1"/>
  <c r="F98" i="1"/>
  <c r="F97" i="1"/>
  <c r="F96" i="1"/>
  <c r="F95" i="1"/>
  <c r="F94" i="1"/>
  <c r="F93" i="1"/>
  <c r="F92" i="1"/>
  <c r="F91" i="1"/>
  <c r="F90" i="1"/>
  <c r="F80" i="1"/>
  <c r="F81" i="1"/>
  <c r="F82" i="1"/>
  <c r="F83" i="1"/>
  <c r="F84" i="1"/>
  <c r="F85" i="1"/>
  <c r="F86" i="1"/>
  <c r="F87" i="1"/>
  <c r="F88" i="1"/>
  <c r="F89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5" i="1"/>
  <c r="F56" i="1"/>
  <c r="F57" i="1"/>
  <c r="F58" i="1"/>
  <c r="F54" i="1"/>
  <c r="F53" i="1"/>
  <c r="F52" i="1"/>
  <c r="F51" i="1"/>
  <c r="F50" i="1"/>
  <c r="F49" i="1"/>
  <c r="F48" i="1"/>
  <c r="F44" i="1"/>
  <c r="F45" i="1"/>
  <c r="F46" i="1"/>
  <c r="F47" i="1"/>
  <c r="F43" i="1"/>
  <c r="F42" i="1"/>
  <c r="F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4" i="1"/>
  <c r="E105" i="1"/>
  <c r="E106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1" i="1"/>
  <c r="E82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L160" i="1"/>
  <c r="L163" i="1"/>
  <c r="L164" i="1"/>
  <c r="L165" i="1"/>
  <c r="L166" i="1"/>
  <c r="L167" i="1"/>
  <c r="L168" i="1"/>
  <c r="L171" i="1"/>
  <c r="L172" i="1"/>
  <c r="L173" i="1"/>
  <c r="L174" i="1"/>
  <c r="L175" i="1"/>
  <c r="L176" i="1"/>
  <c r="L179" i="1"/>
  <c r="L180" i="1"/>
  <c r="L181" i="1"/>
  <c r="L182" i="1"/>
  <c r="L183" i="1"/>
  <c r="L184" i="1"/>
  <c r="L196" i="1"/>
  <c r="L197" i="1"/>
  <c r="L198" i="1"/>
  <c r="L199" i="1"/>
  <c r="L200" i="1"/>
  <c r="L203" i="1"/>
  <c r="L204" i="1"/>
  <c r="L205" i="1"/>
  <c r="L206" i="1"/>
  <c r="L207" i="1"/>
  <c r="L208" i="1"/>
  <c r="L211" i="1"/>
  <c r="L212" i="1"/>
  <c r="L213" i="1"/>
  <c r="L214" i="1"/>
  <c r="L215" i="1"/>
  <c r="L216" i="1"/>
  <c r="K38" i="1"/>
  <c r="J38" i="1"/>
  <c r="H38" i="1"/>
  <c r="D38" i="1"/>
  <c r="K37" i="1"/>
  <c r="D37" i="1"/>
  <c r="K36" i="1"/>
  <c r="H36" i="1"/>
  <c r="D35" i="1"/>
  <c r="K32" i="1"/>
  <c r="J32" i="1"/>
  <c r="I32" i="1"/>
  <c r="H32" i="1"/>
  <c r="D32" i="1"/>
  <c r="K23" i="1"/>
  <c r="D23" i="1"/>
  <c r="I22" i="1"/>
  <c r="E22" i="1"/>
  <c r="D22" i="1"/>
  <c r="K13" i="1"/>
  <c r="I13" i="1"/>
  <c r="H13" i="1"/>
  <c r="L9" i="1"/>
  <c r="L10" i="1"/>
  <c r="L11" i="1"/>
  <c r="L12" i="1"/>
  <c r="L14" i="1"/>
  <c r="L15" i="1"/>
  <c r="L16" i="1"/>
  <c r="L17" i="1"/>
  <c r="L18" i="1"/>
  <c r="L19" i="1"/>
  <c r="L20" i="1"/>
  <c r="L21" i="1"/>
  <c r="L24" i="1"/>
  <c r="L25" i="1"/>
  <c r="L26" i="1"/>
  <c r="L27" i="1"/>
  <c r="L28" i="1"/>
  <c r="L29" i="1"/>
  <c r="L30" i="1"/>
  <c r="L31" i="1"/>
  <c r="L33" i="1"/>
  <c r="L34" i="1"/>
  <c r="L35" i="1"/>
  <c r="L39" i="1"/>
  <c r="L40" i="1"/>
  <c r="L142" i="1"/>
  <c r="L143" i="1"/>
  <c r="L144" i="1"/>
  <c r="L147" i="1"/>
  <c r="L148" i="1"/>
  <c r="L149" i="1"/>
  <c r="L150" i="1"/>
  <c r="L151" i="1"/>
  <c r="L152" i="1"/>
  <c r="L155" i="1"/>
  <c r="L156" i="1"/>
  <c r="L157" i="1"/>
  <c r="L158" i="1"/>
  <c r="L159" i="1"/>
  <c r="L219" i="1"/>
  <c r="L220" i="1"/>
  <c r="L221" i="1"/>
  <c r="L222" i="1"/>
  <c r="L223" i="1"/>
  <c r="L224" i="1"/>
  <c r="L227" i="1"/>
  <c r="L228" i="1"/>
  <c r="L229" i="1"/>
  <c r="L230" i="1"/>
  <c r="L231" i="1"/>
  <c r="L232" i="1"/>
  <c r="L235" i="1"/>
  <c r="L236" i="1"/>
  <c r="L237" i="1"/>
  <c r="L238" i="1"/>
  <c r="L23" i="1" l="1"/>
  <c r="L63" i="1"/>
  <c r="L79" i="1"/>
  <c r="L111" i="1"/>
  <c r="L135" i="1"/>
  <c r="L64" i="1"/>
  <c r="L60" i="1"/>
  <c r="L178" i="1"/>
  <c r="L188" i="1"/>
  <c r="L13" i="1"/>
  <c r="L132" i="1"/>
  <c r="L77" i="1"/>
  <c r="L51" i="1"/>
  <c r="L75" i="1"/>
  <c r="L99" i="1"/>
  <c r="L193" i="1"/>
  <c r="L189" i="1"/>
  <c r="L187" i="1"/>
  <c r="L37" i="1"/>
  <c r="L56" i="1"/>
  <c r="L88" i="1"/>
  <c r="L76" i="1"/>
  <c r="L100" i="1"/>
  <c r="L110" i="1"/>
  <c r="L108" i="1"/>
  <c r="L50" i="1"/>
  <c r="L66" i="1"/>
  <c r="L46" i="1"/>
  <c r="L138" i="1"/>
  <c r="L72" i="1"/>
  <c r="L190" i="1"/>
  <c r="L83" i="1"/>
  <c r="L192" i="1"/>
  <c r="L114" i="1"/>
  <c r="L112" i="1"/>
  <c r="L136" i="1"/>
  <c r="L80" i="1"/>
  <c r="L85" i="1"/>
  <c r="L191" i="1"/>
  <c r="L102" i="1"/>
  <c r="L92" i="1"/>
  <c r="L133" i="1"/>
  <c r="L130" i="1"/>
  <c r="L186" i="1"/>
  <c r="L194" i="1"/>
  <c r="L126" i="1"/>
  <c r="L82" i="1"/>
  <c r="L115" i="1"/>
  <c r="L123" i="1"/>
  <c r="L122" i="1"/>
  <c r="L104" i="1"/>
  <c r="L103" i="1"/>
  <c r="L94" i="1"/>
  <c r="L61" i="1"/>
  <c r="L134" i="1"/>
  <c r="L127" i="1"/>
  <c r="L119" i="1"/>
  <c r="L89" i="1"/>
  <c r="L73" i="1"/>
  <c r="L55" i="1"/>
  <c r="L42" i="1"/>
  <c r="L140" i="1"/>
  <c r="L139" i="1"/>
  <c r="L97" i="1"/>
  <c r="L96" i="1"/>
  <c r="L71" i="1"/>
  <c r="L62" i="1"/>
  <c r="L117" i="1"/>
  <c r="L109" i="1"/>
  <c r="L106" i="1"/>
  <c r="L105" i="1"/>
  <c r="L101" i="1"/>
  <c r="L90" i="1"/>
  <c r="L59" i="1"/>
  <c r="L57" i="1"/>
  <c r="L53" i="1"/>
  <c r="L41" i="1"/>
  <c r="L128" i="1"/>
  <c r="L86" i="1"/>
  <c r="L69" i="1"/>
  <c r="L65" i="1"/>
  <c r="L54" i="1"/>
  <c r="L137" i="1"/>
  <c r="L95" i="1"/>
  <c r="L78" i="1"/>
  <c r="L44" i="1"/>
  <c r="L98" i="1"/>
  <c r="L120" i="1"/>
  <c r="L121" i="1"/>
  <c r="L129" i="1"/>
  <c r="L125" i="1"/>
  <c r="L118" i="1"/>
  <c r="L107" i="1"/>
  <c r="L91" i="1"/>
  <c r="L87" i="1"/>
  <c r="L70" i="1"/>
  <c r="L67" i="1"/>
  <c r="L49" i="1"/>
  <c r="L43" i="1"/>
  <c r="L131" i="1"/>
  <c r="L124" i="1"/>
  <c r="L116" i="1"/>
  <c r="L113" i="1"/>
  <c r="L84" i="1"/>
  <c r="L81" i="1"/>
  <c r="L74" i="1"/>
  <c r="L68" i="1"/>
  <c r="L58" i="1"/>
  <c r="L52" i="1"/>
  <c r="L48" i="1"/>
  <c r="L47" i="1"/>
  <c r="L45" i="1"/>
  <c r="L38" i="1"/>
  <c r="L36" i="1"/>
  <c r="L32" i="1"/>
  <c r="L22" i="1"/>
  <c r="L8" i="1"/>
  <c r="L93" i="1"/>
</calcChain>
</file>

<file path=xl/sharedStrings.xml><?xml version="1.0" encoding="utf-8"?>
<sst xmlns="http://schemas.openxmlformats.org/spreadsheetml/2006/main" count="714" uniqueCount="253">
  <si>
    <t>COMISSÃO DE SISTEMA PRISIONAL, CONTROLE EXTERNO DA ATIVIDADE POLICIAL E SEGURANÇA PÚBLICA</t>
  </si>
  <si>
    <t xml:space="preserve">RELATÓRIO ANUAL DO SISTEMA PRISIONAL </t>
  </si>
  <si>
    <t>Referência dos dados: Março/2014 a Fevereiro/2015</t>
  </si>
  <si>
    <t>DADOS GERAIS</t>
  </si>
  <si>
    <t>CAPACIDADE (CAP)</t>
  </si>
  <si>
    <t>OCUPAÇÃO (OCP)</t>
  </si>
  <si>
    <t>UF</t>
  </si>
  <si>
    <t>UNIDADE</t>
  </si>
  <si>
    <t>SEXO</t>
  </si>
  <si>
    <t>FECHADO</t>
  </si>
  <si>
    <t>S.ABERTO</t>
  </si>
  <si>
    <t>ABERTO</t>
  </si>
  <si>
    <t>PROVIS</t>
  </si>
  <si>
    <t>CAP - OCP</t>
  </si>
  <si>
    <t xml:space="preserve">REGIÃO CENTRO-OESTE </t>
  </si>
  <si>
    <t>DISTRITO FEDERAL</t>
  </si>
  <si>
    <t>PENITENCIÁRIA DO DISTRITO FEDERAL II - PDF II</t>
  </si>
  <si>
    <t>CENTRO DE PROGRESSÃO PENITENCIÁRIA - CPP</t>
  </si>
  <si>
    <t>PENITENCIÁRIA DO DISTRITO FEDERAL I - PDF I</t>
  </si>
  <si>
    <t>CENTRO DE DETENÇÃO PROVISÓRIA - CDP</t>
  </si>
  <si>
    <t>CENTRO DE INTERNAMENTO E REEDUCAÇÃO - CIR</t>
  </si>
  <si>
    <t>MASCULINO</t>
  </si>
  <si>
    <t>FEMININA</t>
  </si>
  <si>
    <t>PENITENCIÁRIA FEMININA DO DISTRITO FEDERAL - PFDF**</t>
  </si>
  <si>
    <t>GOIÁS</t>
  </si>
  <si>
    <t>CADEIA PÚBLICA DE SANTA CRUZ DE GOIÁS</t>
  </si>
  <si>
    <t>CADEIA PÚBLICA DE ÁGUAS LINDAS DE GOIÁS - GO</t>
  </si>
  <si>
    <t>CIS - CENTRO DE INSERÇÃO SOCIAL</t>
  </si>
  <si>
    <t>UNIDADE PRISIONAL SEMIABERTO</t>
  </si>
  <si>
    <t>PENITENCIÁRIA CORONEL ODENIR GUIMARÃES</t>
  </si>
  <si>
    <t>COLÔNIA AGROINDUSTRIAL DO REGIME SEMIABERTO</t>
  </si>
  <si>
    <t>CASA DE PRISÃO PROVISÓRIA</t>
  </si>
  <si>
    <t>Unidade Prisional de Corumbaíba</t>
  </si>
  <si>
    <t>CADEIA PÚBLICA</t>
  </si>
  <si>
    <t>CASA DE PRISÃO PROVISÓRIA DE RIO VERDE</t>
  </si>
  <si>
    <t>Unidade Prisional de Mossâmedes-GO</t>
  </si>
  <si>
    <t>CADEIA PÚBLICA DE HDIROLÂNDIA/GO</t>
  </si>
  <si>
    <t>CADEIA PÚBLICA MUNICIPAL</t>
  </si>
  <si>
    <t>CPP - CASA DE PRISÃO PROVISÓRIA</t>
  </si>
  <si>
    <t>UNIDADE PRISIONAL DE CIDADE OCIDENTAL-GO</t>
  </si>
  <si>
    <t>CADEIA PÚBLICA DE SENADOR CANEDO</t>
  </si>
  <si>
    <t>CADEIA PÚBLICA /CASA DO ALBERGADO</t>
  </si>
  <si>
    <t>CADEIA PÚBLICA DE VALPARAÍSO DE GOIÁS - UNIDADE PRISIONAL</t>
  </si>
  <si>
    <t>CADEIA PÚBLICA DE COCALZINHO DE GOIÁS</t>
  </si>
  <si>
    <t>CADEIA PÚBLICA**</t>
  </si>
  <si>
    <t>CADEIA PÚBLICA DE GOIANÁPOLIS**</t>
  </si>
  <si>
    <t>CADEIA PÚBLICA DE ITAJÁ**</t>
  </si>
  <si>
    <t>CADEIA PÚBLICA DE FORMOSO**</t>
  </si>
  <si>
    <t>CADEIA PÚBLICA DE PLANALTINA**</t>
  </si>
  <si>
    <t>CADEIA PÚBLICA DE SERRANÓPOLIS - GO**</t>
  </si>
  <si>
    <t>8ª DIRETORIA REGIONAL NORDESTE - CADEIA PÚBLICA DE SIMOLÂNDIA**</t>
  </si>
  <si>
    <t>PENITENCIÁRIA FEMININA CONSUELO NASSER</t>
  </si>
  <si>
    <t>PRESÍDIO FEMININO</t>
  </si>
  <si>
    <t>CADEIA  PÚBLICA DE  CAMPOS  VERDES</t>
  </si>
  <si>
    <t>UNIDADE PRISIONAL DE PALMEIRAS DE GOIÁS</t>
  </si>
  <si>
    <t>CADEIA PÚBLICA DE IACIARA</t>
  </si>
  <si>
    <t>UNIDADE PRISIONAL DE FIRMINÓPOLIS</t>
  </si>
  <si>
    <t>CADEIA PÚBLICA DE NOVO GAMA</t>
  </si>
  <si>
    <t>CENTRO DE INSERÇÃO SOCIAL DE GOIANÉSIA</t>
  </si>
  <si>
    <t>CADEIA PÚBLICA DE NERÓPOLIS</t>
  </si>
  <si>
    <t>CADEIA PÚBLICA DE PARANAIGUARA</t>
  </si>
  <si>
    <t>CENTRO DE INSERÇÃO SOCIAL</t>
  </si>
  <si>
    <t>CADEIA PÚBLICA DE VICENTINÓPOLIS</t>
  </si>
  <si>
    <t>CADEIA PÚBLICA DE CACHOEIRA ALTA</t>
  </si>
  <si>
    <t>CADEIA PÚBLICA DE MAURILÂNDIA</t>
  </si>
  <si>
    <t>CENTRO DE INSERÇÃO SOCIAL DE SÃO LUÍS DE MONTES BELOS</t>
  </si>
  <si>
    <t>CADEIA PÚBLICA DE PIRACANJUBA</t>
  </si>
  <si>
    <t>CENTRO DE INSERÇÃO SOCIAL DE JATAÍ</t>
  </si>
  <si>
    <t>CADEIA PÚBLICA DE ISRAELÂNDIA</t>
  </si>
  <si>
    <t>CADEIA PÚBLICA DE CAMPOS BELOS</t>
  </si>
  <si>
    <t>CADEIA PÚBLICA DE RIALMA</t>
  </si>
  <si>
    <t>CADEIA PÚBLICA DE CAIAPÔNIA</t>
  </si>
  <si>
    <t>CADEIA PÚBLICA MUNICIPAL DE CROMINIA</t>
  </si>
  <si>
    <t>CADEIA PÚBLICA DE NOVO BRASIL</t>
  </si>
  <si>
    <t>CADEIA PÚBLICA DE ALTO PARAÍSO DE GOIAS</t>
  </si>
  <si>
    <t>CADEIA PÚBLICA DE GOIATUBA</t>
  </si>
  <si>
    <t>CADEIA PÚBLICA DE ARUANÃ</t>
  </si>
  <si>
    <t>CADEIA PÚBLICA DE URUANA</t>
  </si>
  <si>
    <t>CADEIA PÚBLICA DE CAÇU</t>
  </si>
  <si>
    <t>CENTRO DE INSERÇÃO SOCIAL DE SÃO SIMÃO</t>
  </si>
  <si>
    <t>UNIDADE PRISIONAL DE ARAGARÇAS</t>
  </si>
  <si>
    <t>CADEIA PÚBLICA DE PIRES DO RIO</t>
  </si>
  <si>
    <t>NÚCLEO DE CUSTÓDIA</t>
  </si>
  <si>
    <t>CENTRO DE INSERÇÃO SOCIAL DE IPAMERI - CISI</t>
  </si>
  <si>
    <t>CADEIA PÚBLICA DE EDÉIA</t>
  </si>
  <si>
    <t>UNIDADE PRISIONAL DE JUSSARA</t>
  </si>
  <si>
    <t>CIS - CENTRO DE INSERÇÃO SOCIAL DE ACREÚNA</t>
  </si>
  <si>
    <t>CADEIA PÚBLICA - UNIDADE PRISIONAL - GOIÁS-GO</t>
  </si>
  <si>
    <t>DESTACAMENTO DA POLÍCIA MILITAR DE MAIRIPOTABA</t>
  </si>
  <si>
    <t>CENTRO DE INSERÇÃO SOCIAL DE ABADIÂNIA</t>
  </si>
  <si>
    <t>CADEIA PÚBLICA DA CIDADE DE BOM JESUS - GO.</t>
  </si>
  <si>
    <t>UNIDADE PRISIONAL DE MORRINHOS</t>
  </si>
  <si>
    <t>Unidade Prisional de Itapaci/GO</t>
  </si>
  <si>
    <t>UNIDADE PRISIONAL DE ITUMBIARA</t>
  </si>
  <si>
    <t>CADEIA PÚBLICA DE NAZÁRIO</t>
  </si>
  <si>
    <t>CADEIA PÚBLICA DE SANTA HELENA DE GOIÁS</t>
  </si>
  <si>
    <t>CADEIA PÚBLICA DO  MUNICÍPIO DE CRIXÁS</t>
  </si>
  <si>
    <t>CENTRO DE INSERÇÃO SOCIAL DE JARAGUÁ-GO</t>
  </si>
  <si>
    <t>CENTRO DE INSERÇÃO SOCIAL - CIS</t>
  </si>
  <si>
    <t>UNIDADE PRISIONAL DE PADRE BERNARDO</t>
  </si>
  <si>
    <t>UNIDADE PRISIONAL DE PIRANHAS</t>
  </si>
  <si>
    <t>CADEIA PÚBLICA DE CUMARI</t>
  </si>
  <si>
    <t>Unidade Prisional de Orizona</t>
  </si>
  <si>
    <t>CENTRO DE INSERÇÃO SOCIAL DE RIO VERDE</t>
  </si>
  <si>
    <t>DESTACAMENTO DA POLÍCIA MILITAR</t>
  </si>
  <si>
    <t>CADEIA PÚBLICA DE INDIARA</t>
  </si>
  <si>
    <t>CADEIA MUNICIPAL DE TURVANIA</t>
  </si>
  <si>
    <t>UNIDADE PRISIONAL DE ANICUNS</t>
  </si>
  <si>
    <t>AGÊNCIA GOIANA DO SISTEMA DE EXECUÇÃO PENAL - AGSEP</t>
  </si>
  <si>
    <t>CADEIA PÚBLICA DE GOIANIRA</t>
  </si>
  <si>
    <t>UNIDADE PRISIONAL DE CRISTALINA/GOIÁS</t>
  </si>
  <si>
    <t>CENTRO DE INSERÇÃO SOCIAL DE MINEIROS</t>
  </si>
  <si>
    <t>CADEIA PUBLICA DE SANTA BÁRBARA DE GOIÁS</t>
  </si>
  <si>
    <t>CADEIA PÚBLICA DE BURITI ALEGRE</t>
  </si>
  <si>
    <t>CENTRO DE INSERÇÃO SOCIAL DE ANÁPOLIS</t>
  </si>
  <si>
    <t>CENTRO DE INTEGRAÇÃO SOCIAL DE QUIRINÓPOLIS/GO</t>
  </si>
  <si>
    <t>UNIDADE PRISIONAL DE POSSE</t>
  </si>
  <si>
    <t>CASA DO ALBERGADO GONZAGA JAYME</t>
  </si>
  <si>
    <t>CADEIA PÚBLICA DE SÃO DOMINGOS</t>
  </si>
  <si>
    <t>Unidade Prisional de Rubiataba</t>
  </si>
  <si>
    <t>CADEIA PÚBLICA DE MOZARLÂNDIA</t>
  </si>
  <si>
    <t>Casa do Albergado Ministro Guimarães Natal</t>
  </si>
  <si>
    <t>CADEIA PÚBLICA DE VARJÃO - DP</t>
  </si>
  <si>
    <t>CENTRO DE INSERÇÃO SOCIAL DE NIQUELANDIA</t>
  </si>
  <si>
    <t>UNIDADE PRISIONAL DE ITABERAÍ/GO</t>
  </si>
  <si>
    <t>Unidade Prisional de Barro Alto</t>
  </si>
  <si>
    <t>UNIDADE PRISIONAL DE BELA VISTA DE GOIÁS</t>
  </si>
  <si>
    <t>CADEIA PÚBLICA DE JANDAIA</t>
  </si>
  <si>
    <t>CADEIA PÚBLICA DE ALEXÂNIA</t>
  </si>
  <si>
    <t>CADEIA PÚBLICA DE CERES/GO</t>
  </si>
  <si>
    <t>UNIDADE PRISIONAL DE SÃO MIGUEL DO ARAGUAIA/GO</t>
  </si>
  <si>
    <t>CENTRO DE INSERÇÃO SOCIAL DE MINAÇU-GO</t>
  </si>
  <si>
    <t>AGÊNCIA PRISIONAL DE INHUMAS</t>
  </si>
  <si>
    <t>CADEIA PÚBLICA DE ITARUMÃ</t>
  </si>
  <si>
    <t>CADEIA PÚBLICA DE ARAÇU</t>
  </si>
  <si>
    <t>CADEIA PÚBLICA MUNICIPAL DE SANCLERLÂNDIA</t>
  </si>
  <si>
    <t>UNIDADE PRISIONAL DE CALDAS NOVAS</t>
  </si>
  <si>
    <t>CADEIA  PÚBLICA DE SANTA TEREZINHA DE GOIÁS</t>
  </si>
  <si>
    <t>CADEIA PÚBLICA DE GOIANDIRA, ESTADO DE GOIÁS</t>
  </si>
  <si>
    <t>UNIDADE PRISIONAL DE ITAPIRAPUÃ</t>
  </si>
  <si>
    <t>CENTRO DE RESSOCIALIZAÇÃO DE URUANA</t>
  </si>
  <si>
    <t>CADEIA PÚBLICA DE PONTALINA</t>
  </si>
  <si>
    <t>UNIDADE PRISIONAL DE TRINDADE/GO</t>
  </si>
  <si>
    <t>CADEIA PÚBLICA DE SILVÂNIA</t>
  </si>
  <si>
    <t>Unidade Prisional de Itaguaru</t>
  </si>
  <si>
    <t>UNIDADE PRISIONAL DE IPORÁ-GO</t>
  </si>
  <si>
    <t>UNIDADE PRISIONAL DE PARAÚNA - GO</t>
  </si>
  <si>
    <t>CENTRO DE INSERÇÃO SOCIAL DE CATALÃO</t>
  </si>
  <si>
    <t>ESTABELECIMENTO PRISIONAL DE FLORES DE GOIÁS</t>
  </si>
  <si>
    <t>AMBOS</t>
  </si>
  <si>
    <t>MATO GROSSO</t>
  </si>
  <si>
    <t>CADEIA PÚBLICA DE ALTO GARÇAS</t>
  </si>
  <si>
    <t>CADEIA PÚBLICA DO MUNICÍPIO DE RIO BRANCO</t>
  </si>
  <si>
    <t>CENTRO DE RESSOCIALIZAÇÃO DE SÃO JOSÉ DO RIO CLARO</t>
  </si>
  <si>
    <t>CADEIA PÚBLICA DE ARENÁPOLIS-MT</t>
  </si>
  <si>
    <t>CADEIA PÚBLICA DE CHAPADA DOS GUIMARÃES</t>
  </si>
  <si>
    <t>CADEIA PÚBLICA DE SÃO JOSÉ DOS QUATRO MARCOS</t>
  </si>
  <si>
    <t>CADEIA PÚBLICA DE ARIPUANÃ</t>
  </si>
  <si>
    <t>CADEIA PÚBLICA DE MIRASSOL DOESTE</t>
  </si>
  <si>
    <t>CADEIA PÚBLICA DE ALTO ARAGUAIA/MT</t>
  </si>
  <si>
    <t>PENITENCIÁRIA ESTADUAL PM MJ. ZUZI ALVES DA SILVA</t>
  </si>
  <si>
    <t>CADEIA PÚBLICA DE DOM AQUINO</t>
  </si>
  <si>
    <t>CADEIA PÚBLICA DE NOBRES</t>
  </si>
  <si>
    <t>CADEIA PÚBLICA DE ITIQUIRA</t>
  </si>
  <si>
    <t>CENTRO DE DETENÇÃO PROVISÓRIA DE PONTES E LACERDA</t>
  </si>
  <si>
    <t>PENITENCIÁRIA DR. OSVALDO FLORENTINO LEITE FERREIRA "FERRUGEM"</t>
  </si>
  <si>
    <t>CENTRO DE DETENÇÃO PROVISÓRIA DE LUCAS DO RIO VERDE</t>
  </si>
  <si>
    <t>CADEIA PÚBLICA/PRESÍDIO MILITAR DE SANTO ANTÔNIO DE LEVERGER</t>
  </si>
  <si>
    <t>CADEIA PÚBLICA DE VILA BELA DA SANTÍSSIMA TRINDADE</t>
  </si>
  <si>
    <t>CENTRO DE RESSOCIALIZAÇÃO DE CUIABÁ- MT</t>
  </si>
  <si>
    <t>CENTRO DE RESSOCIALIZAÇÃO DE SORRISO - CRS</t>
  </si>
  <si>
    <t>CADEIA PÚBLICA DE CÁCERES</t>
  </si>
  <si>
    <t>CADEIA PÚBLICA DE  CAMPO NOVO DO PARECIS-MT</t>
  </si>
  <si>
    <t>CADEIA PÚBLICA DE POCONÉ</t>
  </si>
  <si>
    <t>CADEIA PÚBLICA DE NOVA MUTUM</t>
  </si>
  <si>
    <t>PENITENCIÁRIA CENTRAL DO ESTADO E ANEXO I</t>
  </si>
  <si>
    <t>PENITENCIARIA MAJOR ELDO SÁ CORREIA MATA GRANDE</t>
  </si>
  <si>
    <t>CADEIA PÚBLICA DE VÁRZEA GRANDE</t>
  </si>
  <si>
    <t>CADEIA PÚBLICA DE JUARA</t>
  </si>
  <si>
    <t>CADEIA PÚBLICA DE BARRA DO BUGRES</t>
  </si>
  <si>
    <t>COLÔNIA PENAL AGRÍCOLA DAS PALMEIRAS</t>
  </si>
  <si>
    <t>CADEIA PÚBLICA DE COLNIZA/MT</t>
  </si>
  <si>
    <t>CENTRO DE DETENÇAO PROVISORIA DE TANGARA DA SERRA</t>
  </si>
  <si>
    <t>CADEIA MUNICIPAL DE ARAPUTANGA/MT</t>
  </si>
  <si>
    <t>CADEIA PÚBLICA DE JUINA</t>
  </si>
  <si>
    <t>CADEIA PÚBLICA DE ALTA FLORESTA</t>
  </si>
  <si>
    <t>CADEIA PÚBLICA DE DIAMANTINO</t>
  </si>
  <si>
    <t>CADEIA PÚBLICA DE PORTO DOS GAÚCHOS</t>
  </si>
  <si>
    <t>CADEIA PÚBLICA DE PEIXOTO DE AZEVEDO-MT</t>
  </si>
  <si>
    <t>CADEIA PÚBLICA DE CANARANA**</t>
  </si>
  <si>
    <t>CADEIA PÚBLICA DE COLÍDER</t>
  </si>
  <si>
    <t>CADEIA PÚBLICA DE RONDONÓPOLIS</t>
  </si>
  <si>
    <t>CADEIA PÚBLICA DE TANGARÁ DA SERRA</t>
  </si>
  <si>
    <t>CADEIA PÚBLICA DE NORTELÂNDIA</t>
  </si>
  <si>
    <t>PENITENCIÁRIA FEMININA "ANA MARIA DO COUTO MAY"</t>
  </si>
  <si>
    <t>CADEIA PÚBLICA FEMININA DE CÁCERES</t>
  </si>
  <si>
    <t>FEMININO</t>
  </si>
  <si>
    <t>CADEIA PÚBLICA DE PORTO ALEGRE DO NORTE</t>
  </si>
  <si>
    <t>CADEIA PÚBLICA DE BARRA DO GARÇAS/MT</t>
  </si>
  <si>
    <t>CADEIA PÚBLICA DE COMODORO</t>
  </si>
  <si>
    <t>CADEIA PÚBLICA DE NOVA XAVANTINA</t>
  </si>
  <si>
    <t>CADEIA PÚBLICA DE PRIMAVERA DO LESTE/MT</t>
  </si>
  <si>
    <t>CADEIA PÚBLICA ÉDER PEREIRA</t>
  </si>
  <si>
    <t>UNIDADE PRISIONAL DE SÃO FÉLIX DO ARAGUAIA/MT</t>
  </si>
  <si>
    <t>CADEIA PÚBLICA DE ROSÁRIO OESTE/MT</t>
  </si>
  <si>
    <t>CADEIA PÚBLICA DE JACIARA</t>
  </si>
  <si>
    <t>MATO GROSSO DO SUL</t>
  </si>
  <si>
    <t>ESTABELECIMENTO PENAL MASCULINO DE REGIME SEMIABERTO E ABERTO DE TRÊS LAGOAS</t>
  </si>
  <si>
    <t>INSTITUTO PENAL DE CAMPO GRANDE - IPCG</t>
  </si>
  <si>
    <t>PENITENCIÁRIA DE SEGURANÇA MÁXIMA DE NAVIRAÍ - MS</t>
  </si>
  <si>
    <t>PRESÍDIO DE SEGURANÇA MÉDIA DE TRÊS LAGOAS/MS</t>
  </si>
  <si>
    <t>PRESÍDIO DE TRÂNSITO DE CAMPO GRANDE - PTRAN</t>
  </si>
  <si>
    <t>ESTABELECIMETNO PENAL DE CASSILANDIA</t>
  </si>
  <si>
    <t>ESTABELECIMENTO PENAL MASCULINO DE COXIM</t>
  </si>
  <si>
    <t>PENITENCIÁRIA FEDERAL DE CAMPO GRANDE</t>
  </si>
  <si>
    <t>ESTABELECIMENTO PENAL MASCULINO DE REGIME SEMIABERTO, ABERTO E DE ASSISTÊNCIA AO ALBERGADO DE PONTA PORÃ</t>
  </si>
  <si>
    <t>ESTABELECIMENTO PENAL DE AMAMBAÍ - EPAM</t>
  </si>
  <si>
    <t>Estabelecimento Penal de Regime Semiaberto, Aberto e Assistência ao Albergado da Amambaí</t>
  </si>
  <si>
    <t>ESTABELECIMENTO PENAL DE PARANAÍBA - SEMI-ABERTO</t>
  </si>
  <si>
    <t>ESTABELECIMENTO PENAL DE REGIME ABERTO E CASA DO ALBERGADO DE CAMPO GRANDE - EPRACA</t>
  </si>
  <si>
    <t>ESTABELECIMENTO PENAL DE REGIME SEMIABERTO E ASSISTÊNCIA AO ALBERGADO DE AQUIDUANA</t>
  </si>
  <si>
    <t>ESTABELECIMENTO PENAL DE REGIME ABERTO, SEMIABERTO E CASA DO ALBERGADO</t>
  </si>
  <si>
    <t>PENITENCIÁRIA DE DOIS IRMÃOS DO BURITI</t>
  </si>
  <si>
    <t>ESTABELECIMENTO PENAL DE PARANAÍBA FECHADO</t>
  </si>
  <si>
    <t>CENTRO DE TRIAGEM ANÍZIO LIMA</t>
  </si>
  <si>
    <t>ESTABELECIMENTO PENAL MASCULINO DE RIO BRILHANTE/MS-EPRB</t>
  </si>
  <si>
    <t>PENITENCIÁRIA HARRY AMORIM COSTA PHAC</t>
  </si>
  <si>
    <t>ESTABELECIMENTO PENAL MÁXIMO ROMERO</t>
  </si>
  <si>
    <t>Estabelecimento Penal Masculino de Regime Fechado de Nova Andradina</t>
  </si>
  <si>
    <t>ESTABELECIMENTO PENAL DE AQUIDAUANA</t>
  </si>
  <si>
    <t>UNIDADE PENAL RICARDO BRANDÃO</t>
  </si>
  <si>
    <t>ESTABELECIMENTO PENAL MASCULINO DE CORUMBÁ - MS</t>
  </si>
  <si>
    <t>ESTABELECIMENTO PENAL "JAIR FERREIRA DE CARVALHO"- EPJFC</t>
  </si>
  <si>
    <t>ESTABELECIMENTO PENAL DE REGIME SEMI-ABERTO E ASSISTÊNCIA AO ALBERGADO DE BATAGUASSU</t>
  </si>
  <si>
    <t>CENTRO PENAL AGROINDUSTRIAL DA GAMELEIRA- CPAG</t>
  </si>
  <si>
    <t>ESTABELECIMENTO PENAL DE BATAGUASSU</t>
  </si>
  <si>
    <t>ESTABELECIMENTO DO REGIME SEMIABERTO E ASSISTÊNCIA AO ALBERGADO</t>
  </si>
  <si>
    <t>Estabelecimento Penal de Regime Semiaberto e Assistência aos Albergados de Dourados/MS</t>
  </si>
  <si>
    <t>PRESÍDIO MILITAR ESTADUAL " FIDELCINO RODRIGUES"**</t>
  </si>
  <si>
    <t>ESTABELECIMENTO PENAL LUIZ PEREIRA DA SILVA**</t>
  </si>
  <si>
    <t>ESTABELECIMENTO PENAL FEMININO RIO BRILHANTE/EPFRB/MS</t>
  </si>
  <si>
    <t>ESTABELECIMENTO PENAL FEMININO DE REGIME SEMIABERTO, ABERTO E ASSISTÊNCIA ÀS ALBERGADAS DE PONTA PORÃ</t>
  </si>
  <si>
    <t>ESTABELECIMENTO PENAL FEMININO "IRMÃ IRMA ZORZI"</t>
  </si>
  <si>
    <t>ESTABELECIMENTO PENAL FEMININO DE REGIME FECHADO DE PONTA PORÃ</t>
  </si>
  <si>
    <t>ESTABELECIMENTO PENAL FEMININO DE TRÊS LAGOAS/MS</t>
  </si>
  <si>
    <t>ESTABELECIMENTO PENAL FEMININO DE REGIME  SEMIABERTO E ABERTO DE TRÊS LAGOAS</t>
  </si>
  <si>
    <t>ESTABELECIMENTO PENAL FEMININO DE REGIME SEMIABERTO, ABERTO E ASSISTÊNCIA ÀS ALBERGADAS DE DOURADOS EPFRSAAA-D</t>
  </si>
  <si>
    <t>ESTABELECIMENTO PENAL  FEMININO DE REGIME ABERTO E SEMIABERTO</t>
  </si>
  <si>
    <t>ESTABELECIMENTO PENAL FEMININO "DR. CARLOS ALBERTO JONAS GIORDANO"</t>
  </si>
  <si>
    <t>ESTABELECIMENTO PENAL DE SÃO GABRIEL DO OESTE - EPSGO/AGEPEN</t>
  </si>
  <si>
    <t>ESTABELECIMENTO PENAL DE REGIME SEMI-ABERTO E ASSISTÊNCIA AOS ALBERGADOS DE CORUMBÁ - MS</t>
  </si>
  <si>
    <t>**FIM**</t>
  </si>
  <si>
    <t>Fonte: Sistema de Inspeção Prisional do Ministério Público - SIP-MP, extração dos dados em 25 de janeiro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</si>
</sst>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i/>
      <sz val="13"/>
      <color theme="1"/>
      <name val="Segoe UI"/>
      <family val="2"/>
    </font>
    <font>
      <b/>
      <sz val="11"/>
      <color theme="1"/>
      <name val="Segoe UI"/>
      <family val="2"/>
    </font>
    <font>
      <b/>
      <sz val="18"/>
      <color theme="1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6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285750</xdr:rowOff>
    </xdr:from>
    <xdr:to>
      <xdr:col>1</xdr:col>
      <xdr:colOff>1702902</xdr:colOff>
      <xdr:row>2</xdr:row>
      <xdr:rowOff>276225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ECDF067-11B2-41B6-AAC6-44BE60A0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44" t="8157" r="2632" b="11287"/>
        <a:stretch>
          <a:fillRect/>
        </a:stretch>
      </xdr:blipFill>
      <xdr:spPr bwMode="auto">
        <a:xfrm>
          <a:off x="304800" y="285750"/>
          <a:ext cx="2655402" cy="1009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7"/>
  <sheetViews>
    <sheetView tabSelected="1" view="pageLayout" zoomScale="110" zoomScaleNormal="120" zoomScalePageLayoutView="110" workbookViewId="0">
      <selection activeCell="C3" sqref="C3:G3"/>
    </sheetView>
  </sheetViews>
  <sheetFormatPr defaultColWidth="9.140625" defaultRowHeight="15" zeroHeight="1" x14ac:dyDescent="0.25"/>
  <cols>
    <col min="1" max="1" width="12.5703125" style="12" customWidth="1"/>
    <col min="2" max="2" width="32.7109375" style="12" customWidth="1"/>
    <col min="3" max="3" width="11.28515625" customWidth="1"/>
    <col min="4" max="11" width="9.5703125" customWidth="1"/>
    <col min="12" max="12" width="9.42578125" customWidth="1"/>
  </cols>
  <sheetData>
    <row r="1" spans="1:12" ht="56.25" customHeight="1" x14ac:dyDescent="0.25">
      <c r="A1" s="26"/>
      <c r="B1" s="26"/>
      <c r="C1" s="27" t="s">
        <v>0</v>
      </c>
      <c r="D1" s="27"/>
      <c r="E1" s="27"/>
      <c r="F1" s="27"/>
      <c r="G1" s="27"/>
      <c r="H1" s="27"/>
      <c r="I1" s="27"/>
      <c r="J1" s="27"/>
      <c r="K1" s="27"/>
      <c r="L1" s="27"/>
    </row>
    <row r="2" spans="1:12" ht="33" customHeight="1" x14ac:dyDescent="0.25">
      <c r="A2" s="26"/>
      <c r="B2" s="26"/>
      <c r="C2" s="28" t="s">
        <v>1</v>
      </c>
      <c r="D2" s="28"/>
      <c r="E2" s="28"/>
      <c r="F2" s="28"/>
      <c r="G2" s="28"/>
      <c r="H2" s="28"/>
      <c r="I2" s="28"/>
      <c r="J2" s="28"/>
      <c r="K2" s="28"/>
      <c r="L2" s="28"/>
    </row>
    <row r="3" spans="1:12" ht="55.5" customHeight="1" x14ac:dyDescent="0.25">
      <c r="A3" s="26"/>
      <c r="B3" s="26"/>
      <c r="C3" s="25" t="s">
        <v>252</v>
      </c>
      <c r="D3" s="25"/>
      <c r="E3" s="25"/>
      <c r="F3" s="25"/>
      <c r="G3" s="25"/>
      <c r="H3" s="25" t="s">
        <v>2</v>
      </c>
      <c r="I3" s="25"/>
      <c r="J3" s="25"/>
      <c r="K3" s="25"/>
      <c r="L3" s="25"/>
    </row>
    <row r="4" spans="1:12" ht="33" customHeight="1" x14ac:dyDescent="0.25">
      <c r="A4" s="23" t="s">
        <v>14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9.75" customHeigh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33.75" customHeight="1" x14ac:dyDescent="0.25">
      <c r="A6" s="22" t="s">
        <v>3</v>
      </c>
      <c r="B6" s="22"/>
      <c r="C6" s="22"/>
      <c r="D6" s="22" t="s">
        <v>4</v>
      </c>
      <c r="E6" s="22"/>
      <c r="F6" s="22"/>
      <c r="G6" s="22"/>
      <c r="H6" s="22" t="s">
        <v>5</v>
      </c>
      <c r="I6" s="22"/>
      <c r="J6" s="22"/>
      <c r="K6" s="22"/>
      <c r="L6" s="22" t="s">
        <v>13</v>
      </c>
    </row>
    <row r="7" spans="1:12" ht="30" customHeight="1" x14ac:dyDescent="0.25">
      <c r="A7" s="1" t="s">
        <v>6</v>
      </c>
      <c r="B7" s="1" t="s">
        <v>7</v>
      </c>
      <c r="C7" s="1" t="s">
        <v>8</v>
      </c>
      <c r="D7" s="3" t="s">
        <v>9</v>
      </c>
      <c r="E7" s="5" t="s">
        <v>10</v>
      </c>
      <c r="F7" s="7" t="s">
        <v>11</v>
      </c>
      <c r="G7" s="9" t="s">
        <v>12</v>
      </c>
      <c r="H7" s="3" t="s">
        <v>9</v>
      </c>
      <c r="I7" s="5" t="s">
        <v>10</v>
      </c>
      <c r="J7" s="7" t="s">
        <v>11</v>
      </c>
      <c r="K7" s="9" t="s">
        <v>12</v>
      </c>
      <c r="L7" s="22"/>
    </row>
    <row r="8" spans="1:12" ht="30" customHeight="1" x14ac:dyDescent="0.25">
      <c r="A8" s="11" t="s">
        <v>15</v>
      </c>
      <c r="B8" s="11" t="s">
        <v>16</v>
      </c>
      <c r="C8" s="2" t="s">
        <v>21</v>
      </c>
      <c r="D8" s="4">
        <v>1464</v>
      </c>
      <c r="E8" s="6">
        <v>0</v>
      </c>
      <c r="F8" s="8">
        <v>0</v>
      </c>
      <c r="G8" s="10">
        <v>0</v>
      </c>
      <c r="H8" s="4">
        <v>2537</v>
      </c>
      <c r="I8" s="6">
        <v>0</v>
      </c>
      <c r="J8" s="8">
        <v>0</v>
      </c>
      <c r="K8" s="10">
        <v>629</v>
      </c>
      <c r="L8" s="13">
        <f>(D8+E8+F8+G8)-(H8+I8+J8+K8)</f>
        <v>-1702</v>
      </c>
    </row>
    <row r="9" spans="1:12" ht="30" customHeight="1" x14ac:dyDescent="0.25">
      <c r="A9" s="11" t="s">
        <v>15</v>
      </c>
      <c r="B9" s="11" t="s">
        <v>17</v>
      </c>
      <c r="C9" s="2" t="s">
        <v>21</v>
      </c>
      <c r="D9" s="4">
        <v>0</v>
      </c>
      <c r="E9" s="6">
        <v>1109</v>
      </c>
      <c r="F9" s="8">
        <v>0</v>
      </c>
      <c r="G9" s="10">
        <v>0</v>
      </c>
      <c r="H9" s="4">
        <v>0</v>
      </c>
      <c r="I9" s="6">
        <v>1551</v>
      </c>
      <c r="J9" s="8">
        <v>0</v>
      </c>
      <c r="K9" s="10">
        <v>0</v>
      </c>
      <c r="L9" s="13">
        <f t="shared" ref="L9:L72" si="0">(D9+E9+F9+G9)-(H9+I9+J9+K9)</f>
        <v>-442</v>
      </c>
    </row>
    <row r="10" spans="1:12" ht="30" customHeight="1" x14ac:dyDescent="0.25">
      <c r="A10" s="11" t="s">
        <v>15</v>
      </c>
      <c r="B10" s="11" t="s">
        <v>18</v>
      </c>
      <c r="C10" s="2" t="s">
        <v>21</v>
      </c>
      <c r="D10" s="4">
        <v>1584</v>
      </c>
      <c r="E10" s="6">
        <v>0</v>
      </c>
      <c r="F10" s="8">
        <v>0</v>
      </c>
      <c r="G10" s="10">
        <v>0</v>
      </c>
      <c r="H10" s="4">
        <v>3066</v>
      </c>
      <c r="I10" s="6">
        <v>198</v>
      </c>
      <c r="J10" s="8">
        <v>0</v>
      </c>
      <c r="K10" s="10">
        <v>5</v>
      </c>
      <c r="L10" s="13">
        <f t="shared" si="0"/>
        <v>-1685</v>
      </c>
    </row>
    <row r="11" spans="1:12" ht="30" customHeight="1" x14ac:dyDescent="0.25">
      <c r="A11" s="11" t="s">
        <v>15</v>
      </c>
      <c r="B11" s="11" t="s">
        <v>19</v>
      </c>
      <c r="C11" s="2" t="s">
        <v>21</v>
      </c>
      <c r="D11" s="4">
        <v>0</v>
      </c>
      <c r="E11" s="6">
        <v>0</v>
      </c>
      <c r="F11" s="8">
        <v>0</v>
      </c>
      <c r="G11" s="10">
        <v>1048</v>
      </c>
      <c r="H11" s="4">
        <v>84</v>
      </c>
      <c r="I11" s="6">
        <v>776</v>
      </c>
      <c r="J11" s="8">
        <v>5</v>
      </c>
      <c r="K11" s="10">
        <v>2461</v>
      </c>
      <c r="L11" s="13">
        <f t="shared" si="0"/>
        <v>-2278</v>
      </c>
    </row>
    <row r="12" spans="1:12" ht="30" customHeight="1" x14ac:dyDescent="0.25">
      <c r="A12" s="11" t="s">
        <v>15</v>
      </c>
      <c r="B12" s="11" t="s">
        <v>20</v>
      </c>
      <c r="C12" s="2" t="s">
        <v>21</v>
      </c>
      <c r="D12" s="4">
        <v>0</v>
      </c>
      <c r="E12" s="6">
        <v>800</v>
      </c>
      <c r="F12" s="8">
        <v>0</v>
      </c>
      <c r="G12" s="10">
        <v>0</v>
      </c>
      <c r="H12" s="4">
        <v>39</v>
      </c>
      <c r="I12" s="6">
        <v>1800</v>
      </c>
      <c r="J12" s="8">
        <v>0</v>
      </c>
      <c r="K12" s="10">
        <v>4</v>
      </c>
      <c r="L12" s="13">
        <f t="shared" si="0"/>
        <v>-1043</v>
      </c>
    </row>
    <row r="13" spans="1:12" ht="30" customHeight="1" x14ac:dyDescent="0.25">
      <c r="A13" s="11" t="s">
        <v>15</v>
      </c>
      <c r="B13" s="14" t="s">
        <v>23</v>
      </c>
      <c r="C13" s="2" t="s">
        <v>22</v>
      </c>
      <c r="D13" s="4">
        <v>168</v>
      </c>
      <c r="E13" s="6">
        <v>170</v>
      </c>
      <c r="F13" s="8">
        <v>0</v>
      </c>
      <c r="G13" s="10">
        <v>94</v>
      </c>
      <c r="H13" s="3">
        <f>3+218</f>
        <v>221</v>
      </c>
      <c r="I13" s="5">
        <f>30+218</f>
        <v>248</v>
      </c>
      <c r="J13" s="8">
        <v>0</v>
      </c>
      <c r="K13" s="9">
        <f>12+208</f>
        <v>220</v>
      </c>
      <c r="L13" s="13">
        <f t="shared" si="0"/>
        <v>-257</v>
      </c>
    </row>
    <row r="14" spans="1:12" ht="30" customHeight="1" x14ac:dyDescent="0.25">
      <c r="A14" s="11" t="s">
        <v>24</v>
      </c>
      <c r="B14" s="11" t="s">
        <v>25</v>
      </c>
      <c r="C14" s="2" t="s">
        <v>21</v>
      </c>
      <c r="D14" s="4">
        <v>8</v>
      </c>
      <c r="E14" s="6">
        <v>0</v>
      </c>
      <c r="F14" s="8">
        <v>0</v>
      </c>
      <c r="G14" s="10">
        <v>0</v>
      </c>
      <c r="H14" s="4">
        <v>4</v>
      </c>
      <c r="I14" s="6">
        <v>4</v>
      </c>
      <c r="J14" s="8">
        <v>2</v>
      </c>
      <c r="K14" s="10">
        <v>4</v>
      </c>
      <c r="L14" s="13">
        <f t="shared" si="0"/>
        <v>-6</v>
      </c>
    </row>
    <row r="15" spans="1:12" ht="30" customHeight="1" x14ac:dyDescent="0.25">
      <c r="A15" s="11" t="s">
        <v>24</v>
      </c>
      <c r="B15" s="11" t="s">
        <v>26</v>
      </c>
      <c r="C15" s="2" t="s">
        <v>21</v>
      </c>
      <c r="D15" s="4">
        <v>0</v>
      </c>
      <c r="E15" s="6">
        <v>0</v>
      </c>
      <c r="F15" s="8">
        <v>0</v>
      </c>
      <c r="G15" s="10">
        <v>77</v>
      </c>
      <c r="H15" s="4">
        <v>51</v>
      </c>
      <c r="I15" s="6">
        <v>0</v>
      </c>
      <c r="J15" s="8">
        <v>0</v>
      </c>
      <c r="K15" s="10">
        <v>218</v>
      </c>
      <c r="L15" s="13">
        <f t="shared" si="0"/>
        <v>-192</v>
      </c>
    </row>
    <row r="16" spans="1:12" ht="30" customHeight="1" x14ac:dyDescent="0.25">
      <c r="A16" s="11" t="s">
        <v>24</v>
      </c>
      <c r="B16" s="11" t="s">
        <v>27</v>
      </c>
      <c r="C16" s="2" t="s">
        <v>21</v>
      </c>
      <c r="D16" s="4">
        <v>261</v>
      </c>
      <c r="E16" s="6">
        <v>0</v>
      </c>
      <c r="F16" s="8">
        <v>0</v>
      </c>
      <c r="G16" s="10">
        <v>0</v>
      </c>
      <c r="H16" s="4">
        <v>220</v>
      </c>
      <c r="I16" s="6">
        <v>35</v>
      </c>
      <c r="J16" s="8">
        <v>2</v>
      </c>
      <c r="K16" s="10">
        <v>12</v>
      </c>
      <c r="L16" s="13">
        <f t="shared" si="0"/>
        <v>-8</v>
      </c>
    </row>
    <row r="17" spans="1:12" ht="30" customHeight="1" x14ac:dyDescent="0.25">
      <c r="A17" s="11" t="s">
        <v>24</v>
      </c>
      <c r="B17" s="11" t="s">
        <v>28</v>
      </c>
      <c r="C17" s="2" t="s">
        <v>21</v>
      </c>
      <c r="D17" s="4">
        <v>0</v>
      </c>
      <c r="E17" s="6">
        <v>48</v>
      </c>
      <c r="F17" s="8">
        <v>4</v>
      </c>
      <c r="G17" s="10">
        <v>0</v>
      </c>
      <c r="H17" s="4">
        <v>0</v>
      </c>
      <c r="I17" s="6">
        <v>48</v>
      </c>
      <c r="J17" s="8">
        <v>4</v>
      </c>
      <c r="K17" s="10">
        <v>0</v>
      </c>
      <c r="L17" s="15">
        <f t="shared" si="0"/>
        <v>0</v>
      </c>
    </row>
    <row r="18" spans="1:12" ht="30" customHeight="1" x14ac:dyDescent="0.25">
      <c r="A18" s="11" t="s">
        <v>24</v>
      </c>
      <c r="B18" s="11" t="s">
        <v>29</v>
      </c>
      <c r="C18" s="2" t="s">
        <v>21</v>
      </c>
      <c r="D18" s="4">
        <v>720</v>
      </c>
      <c r="E18" s="6">
        <v>0</v>
      </c>
      <c r="F18" s="8">
        <v>0</v>
      </c>
      <c r="G18" s="10">
        <v>0</v>
      </c>
      <c r="H18" s="4">
        <v>1424</v>
      </c>
      <c r="I18" s="6">
        <v>0</v>
      </c>
      <c r="J18" s="8">
        <v>0</v>
      </c>
      <c r="K18" s="10">
        <v>0</v>
      </c>
      <c r="L18" s="13">
        <f t="shared" si="0"/>
        <v>-704</v>
      </c>
    </row>
    <row r="19" spans="1:12" ht="30" customHeight="1" x14ac:dyDescent="0.25">
      <c r="A19" s="11" t="s">
        <v>24</v>
      </c>
      <c r="B19" s="11" t="s">
        <v>30</v>
      </c>
      <c r="C19" s="2" t="s">
        <v>21</v>
      </c>
      <c r="D19" s="4">
        <v>0</v>
      </c>
      <c r="E19" s="6">
        <v>423</v>
      </c>
      <c r="F19" s="8">
        <v>0</v>
      </c>
      <c r="G19" s="10">
        <v>0</v>
      </c>
      <c r="H19" s="4">
        <v>0</v>
      </c>
      <c r="I19" s="6">
        <v>438</v>
      </c>
      <c r="J19" s="8">
        <v>0</v>
      </c>
      <c r="K19" s="10">
        <v>0</v>
      </c>
      <c r="L19" s="13">
        <f t="shared" si="0"/>
        <v>-15</v>
      </c>
    </row>
    <row r="20" spans="1:12" ht="30" customHeight="1" x14ac:dyDescent="0.25">
      <c r="A20" s="11" t="s">
        <v>24</v>
      </c>
      <c r="B20" s="11" t="s">
        <v>31</v>
      </c>
      <c r="C20" s="2" t="s">
        <v>21</v>
      </c>
      <c r="D20" s="4">
        <v>0</v>
      </c>
      <c r="E20" s="6">
        <v>0</v>
      </c>
      <c r="F20" s="8">
        <v>0</v>
      </c>
      <c r="G20" s="10">
        <v>72</v>
      </c>
      <c r="H20" s="4">
        <v>0</v>
      </c>
      <c r="I20" s="6">
        <v>0</v>
      </c>
      <c r="J20" s="8">
        <v>0</v>
      </c>
      <c r="K20" s="10">
        <v>149</v>
      </c>
      <c r="L20" s="13">
        <f t="shared" si="0"/>
        <v>-77</v>
      </c>
    </row>
    <row r="21" spans="1:12" ht="30" customHeight="1" x14ac:dyDescent="0.25">
      <c r="A21" s="11" t="s">
        <v>24</v>
      </c>
      <c r="B21" s="11" t="s">
        <v>32</v>
      </c>
      <c r="C21" s="2" t="s">
        <v>21</v>
      </c>
      <c r="D21" s="4">
        <v>10</v>
      </c>
      <c r="E21" s="6">
        <v>6</v>
      </c>
      <c r="F21" s="8">
        <v>6</v>
      </c>
      <c r="G21" s="10">
        <v>14</v>
      </c>
      <c r="H21" s="4">
        <v>5</v>
      </c>
      <c r="I21" s="6">
        <v>6</v>
      </c>
      <c r="J21" s="8">
        <v>3</v>
      </c>
      <c r="K21" s="10">
        <v>12</v>
      </c>
      <c r="L21" s="15">
        <f t="shared" si="0"/>
        <v>10</v>
      </c>
    </row>
    <row r="22" spans="1:12" ht="30" customHeight="1" x14ac:dyDescent="0.25">
      <c r="A22" s="11" t="s">
        <v>24</v>
      </c>
      <c r="B22" s="14" t="s">
        <v>44</v>
      </c>
      <c r="C22" s="2" t="s">
        <v>21</v>
      </c>
      <c r="D22" s="3">
        <f>15+5</f>
        <v>20</v>
      </c>
      <c r="E22" s="5">
        <f>5+5</f>
        <v>10</v>
      </c>
      <c r="F22" s="8">
        <v>0</v>
      </c>
      <c r="G22" s="10">
        <v>0</v>
      </c>
      <c r="H22" s="4">
        <v>9</v>
      </c>
      <c r="I22" s="5">
        <f>3+1</f>
        <v>4</v>
      </c>
      <c r="J22" s="8">
        <v>0</v>
      </c>
      <c r="K22" s="10">
        <v>7</v>
      </c>
      <c r="L22" s="15">
        <f t="shared" si="0"/>
        <v>10</v>
      </c>
    </row>
    <row r="23" spans="1:12" ht="30" customHeight="1" x14ac:dyDescent="0.25">
      <c r="A23" s="11" t="s">
        <v>24</v>
      </c>
      <c r="B23" s="14" t="s">
        <v>45</v>
      </c>
      <c r="C23" s="2" t="s">
        <v>21</v>
      </c>
      <c r="D23" s="3">
        <f>30+2</f>
        <v>32</v>
      </c>
      <c r="E23" s="6">
        <v>0</v>
      </c>
      <c r="F23" s="8">
        <v>0</v>
      </c>
      <c r="G23" s="10">
        <v>0</v>
      </c>
      <c r="H23" s="4">
        <v>3</v>
      </c>
      <c r="I23" s="6">
        <v>0</v>
      </c>
      <c r="J23" s="8">
        <v>0</v>
      </c>
      <c r="K23" s="9">
        <f>36+1</f>
        <v>37</v>
      </c>
      <c r="L23" s="13">
        <f t="shared" si="0"/>
        <v>-8</v>
      </c>
    </row>
    <row r="24" spans="1:12" ht="30" customHeight="1" x14ac:dyDescent="0.25">
      <c r="A24" s="11" t="s">
        <v>24</v>
      </c>
      <c r="B24" s="11" t="s">
        <v>34</v>
      </c>
      <c r="C24" s="2" t="s">
        <v>21</v>
      </c>
      <c r="D24" s="4">
        <v>0</v>
      </c>
      <c r="E24" s="6">
        <v>0</v>
      </c>
      <c r="F24" s="8">
        <v>0</v>
      </c>
      <c r="G24" s="10">
        <v>138</v>
      </c>
      <c r="H24" s="4">
        <v>0</v>
      </c>
      <c r="I24" s="6">
        <v>0</v>
      </c>
      <c r="J24" s="8">
        <v>0</v>
      </c>
      <c r="K24" s="10">
        <v>211</v>
      </c>
      <c r="L24" s="13">
        <f t="shared" si="0"/>
        <v>-73</v>
      </c>
    </row>
    <row r="25" spans="1:12" ht="30" customHeight="1" x14ac:dyDescent="0.25">
      <c r="A25" s="11" t="s">
        <v>24</v>
      </c>
      <c r="B25" s="11" t="s">
        <v>35</v>
      </c>
      <c r="C25" s="2" t="s">
        <v>21</v>
      </c>
      <c r="D25" s="4">
        <v>2</v>
      </c>
      <c r="E25" s="6">
        <v>2</v>
      </c>
      <c r="F25" s="8">
        <v>0</v>
      </c>
      <c r="G25" s="10">
        <v>2</v>
      </c>
      <c r="H25" s="4">
        <v>3</v>
      </c>
      <c r="I25" s="6">
        <v>2</v>
      </c>
      <c r="J25" s="8">
        <v>0</v>
      </c>
      <c r="K25" s="10">
        <v>3</v>
      </c>
      <c r="L25" s="13">
        <f t="shared" si="0"/>
        <v>-2</v>
      </c>
    </row>
    <row r="26" spans="1:12" ht="30" customHeight="1" x14ac:dyDescent="0.25">
      <c r="A26" s="11" t="s">
        <v>24</v>
      </c>
      <c r="B26" s="11" t="s">
        <v>36</v>
      </c>
      <c r="C26" s="2" t="s">
        <v>21</v>
      </c>
      <c r="D26" s="4">
        <v>18</v>
      </c>
      <c r="E26" s="6">
        <v>8</v>
      </c>
      <c r="F26" s="8">
        <v>8</v>
      </c>
      <c r="G26" s="10">
        <v>18</v>
      </c>
      <c r="H26" s="4">
        <v>27</v>
      </c>
      <c r="I26" s="6">
        <v>2</v>
      </c>
      <c r="J26" s="8">
        <v>4</v>
      </c>
      <c r="K26" s="10">
        <v>28</v>
      </c>
      <c r="L26" s="13">
        <f t="shared" si="0"/>
        <v>-9</v>
      </c>
    </row>
    <row r="27" spans="1:12" ht="30" customHeight="1" x14ac:dyDescent="0.25">
      <c r="A27" s="11" t="s">
        <v>24</v>
      </c>
      <c r="B27" s="11" t="s">
        <v>37</v>
      </c>
      <c r="C27" s="2" t="s">
        <v>21</v>
      </c>
      <c r="D27" s="4">
        <v>12</v>
      </c>
      <c r="E27" s="6">
        <v>4</v>
      </c>
      <c r="F27" s="8">
        <v>0</v>
      </c>
      <c r="G27" s="10">
        <v>6</v>
      </c>
      <c r="H27" s="4">
        <v>12</v>
      </c>
      <c r="I27" s="6">
        <v>3</v>
      </c>
      <c r="J27" s="8">
        <v>0</v>
      </c>
      <c r="K27" s="10">
        <v>8</v>
      </c>
      <c r="L27" s="13">
        <f t="shared" si="0"/>
        <v>-1</v>
      </c>
    </row>
    <row r="28" spans="1:12" ht="30" customHeight="1" x14ac:dyDescent="0.25">
      <c r="A28" s="11" t="s">
        <v>24</v>
      </c>
      <c r="B28" s="11" t="s">
        <v>38</v>
      </c>
      <c r="C28" s="2" t="s">
        <v>21</v>
      </c>
      <c r="D28" s="4">
        <v>0</v>
      </c>
      <c r="E28" s="6">
        <v>0</v>
      </c>
      <c r="F28" s="8">
        <v>0</v>
      </c>
      <c r="G28" s="10">
        <v>170</v>
      </c>
      <c r="H28" s="4">
        <v>9</v>
      </c>
      <c r="I28" s="6">
        <v>0</v>
      </c>
      <c r="J28" s="8">
        <v>0</v>
      </c>
      <c r="K28" s="10">
        <v>192</v>
      </c>
      <c r="L28" s="13">
        <f t="shared" si="0"/>
        <v>-31</v>
      </c>
    </row>
    <row r="29" spans="1:12" ht="30" customHeight="1" x14ac:dyDescent="0.25">
      <c r="A29" s="11" t="s">
        <v>24</v>
      </c>
      <c r="B29" s="11" t="s">
        <v>39</v>
      </c>
      <c r="C29" s="2" t="s">
        <v>21</v>
      </c>
      <c r="D29" s="4">
        <v>24</v>
      </c>
      <c r="E29" s="6">
        <v>15</v>
      </c>
      <c r="F29" s="8">
        <v>0</v>
      </c>
      <c r="G29" s="10">
        <v>0</v>
      </c>
      <c r="H29" s="4">
        <v>25</v>
      </c>
      <c r="I29" s="6">
        <v>35</v>
      </c>
      <c r="J29" s="8">
        <v>0</v>
      </c>
      <c r="K29" s="10">
        <v>45</v>
      </c>
      <c r="L29" s="13">
        <f t="shared" si="0"/>
        <v>-66</v>
      </c>
    </row>
    <row r="30" spans="1:12" ht="30" customHeight="1" x14ac:dyDescent="0.25">
      <c r="A30" s="11" t="s">
        <v>24</v>
      </c>
      <c r="B30" s="11" t="s">
        <v>40</v>
      </c>
      <c r="C30" s="2" t="s">
        <v>21</v>
      </c>
      <c r="D30" s="4">
        <v>20</v>
      </c>
      <c r="E30" s="6">
        <v>0</v>
      </c>
      <c r="F30" s="8">
        <v>0</v>
      </c>
      <c r="G30" s="10">
        <v>56</v>
      </c>
      <c r="H30" s="4">
        <v>36</v>
      </c>
      <c r="I30" s="6">
        <v>0</v>
      </c>
      <c r="J30" s="8">
        <v>0</v>
      </c>
      <c r="K30" s="10">
        <v>89</v>
      </c>
      <c r="L30" s="13">
        <f t="shared" si="0"/>
        <v>-49</v>
      </c>
    </row>
    <row r="31" spans="1:12" ht="30" customHeight="1" x14ac:dyDescent="0.25">
      <c r="A31" s="11" t="s">
        <v>24</v>
      </c>
      <c r="B31" s="11" t="s">
        <v>41</v>
      </c>
      <c r="C31" s="2" t="s">
        <v>21</v>
      </c>
      <c r="D31" s="4">
        <v>12</v>
      </c>
      <c r="E31" s="6">
        <v>8</v>
      </c>
      <c r="F31" s="8">
        <v>0</v>
      </c>
      <c r="G31" s="10">
        <v>0</v>
      </c>
      <c r="H31" s="4">
        <v>9</v>
      </c>
      <c r="I31" s="6">
        <v>1</v>
      </c>
      <c r="J31" s="8">
        <v>0</v>
      </c>
      <c r="K31" s="10">
        <v>6</v>
      </c>
      <c r="L31" s="15">
        <f t="shared" si="0"/>
        <v>4</v>
      </c>
    </row>
    <row r="32" spans="1:12" ht="30" customHeight="1" x14ac:dyDescent="0.25">
      <c r="A32" s="11" t="s">
        <v>24</v>
      </c>
      <c r="B32" s="14" t="s">
        <v>46</v>
      </c>
      <c r="C32" s="2" t="s">
        <v>21</v>
      </c>
      <c r="D32" s="3">
        <f>49+8</f>
        <v>57</v>
      </c>
      <c r="E32" s="6">
        <v>0</v>
      </c>
      <c r="F32" s="8">
        <v>0</v>
      </c>
      <c r="G32" s="10">
        <v>0</v>
      </c>
      <c r="H32" s="3">
        <f>15+1</f>
        <v>16</v>
      </c>
      <c r="I32" s="5">
        <f>24+1</f>
        <v>25</v>
      </c>
      <c r="J32" s="7">
        <f>5+1</f>
        <v>6</v>
      </c>
      <c r="K32" s="9">
        <f>14+1</f>
        <v>15</v>
      </c>
      <c r="L32" s="13">
        <f t="shared" si="0"/>
        <v>-5</v>
      </c>
    </row>
    <row r="33" spans="1:12" ht="30" customHeight="1" x14ac:dyDescent="0.25">
      <c r="A33" s="11" t="s">
        <v>24</v>
      </c>
      <c r="B33" s="11" t="s">
        <v>42</v>
      </c>
      <c r="C33" s="2" t="s">
        <v>21</v>
      </c>
      <c r="D33" s="4">
        <v>96</v>
      </c>
      <c r="E33" s="6">
        <v>60</v>
      </c>
      <c r="F33" s="8">
        <v>0</v>
      </c>
      <c r="G33" s="10">
        <v>0</v>
      </c>
      <c r="H33" s="4">
        <v>80</v>
      </c>
      <c r="I33" s="6">
        <v>30</v>
      </c>
      <c r="J33" s="8">
        <v>0</v>
      </c>
      <c r="K33" s="10">
        <v>80</v>
      </c>
      <c r="L33" s="13">
        <f t="shared" si="0"/>
        <v>-34</v>
      </c>
    </row>
    <row r="34" spans="1:12" ht="30" customHeight="1" x14ac:dyDescent="0.25">
      <c r="A34" s="11" t="s">
        <v>24</v>
      </c>
      <c r="B34" s="11" t="s">
        <v>43</v>
      </c>
      <c r="C34" s="2" t="s">
        <v>21</v>
      </c>
      <c r="D34" s="4">
        <v>0</v>
      </c>
      <c r="E34" s="6">
        <v>10</v>
      </c>
      <c r="F34" s="8">
        <v>5</v>
      </c>
      <c r="G34" s="10">
        <v>0</v>
      </c>
      <c r="H34" s="4">
        <v>0</v>
      </c>
      <c r="I34" s="6">
        <v>5</v>
      </c>
      <c r="J34" s="8">
        <v>2</v>
      </c>
      <c r="K34" s="10">
        <v>0</v>
      </c>
      <c r="L34" s="15">
        <f t="shared" si="0"/>
        <v>8</v>
      </c>
    </row>
    <row r="35" spans="1:12" ht="30" customHeight="1" x14ac:dyDescent="0.25">
      <c r="A35" s="11" t="s">
        <v>24</v>
      </c>
      <c r="B35" s="14" t="s">
        <v>47</v>
      </c>
      <c r="C35" s="2" t="s">
        <v>21</v>
      </c>
      <c r="D35" s="3">
        <f>12+2</f>
        <v>14</v>
      </c>
      <c r="E35" s="6">
        <v>0</v>
      </c>
      <c r="F35" s="8">
        <v>0</v>
      </c>
      <c r="G35" s="10">
        <v>0</v>
      </c>
      <c r="H35" s="4">
        <v>12</v>
      </c>
      <c r="I35" s="6">
        <v>0</v>
      </c>
      <c r="J35" s="8">
        <v>0</v>
      </c>
      <c r="K35" s="10">
        <v>0</v>
      </c>
      <c r="L35" s="15">
        <f t="shared" si="0"/>
        <v>2</v>
      </c>
    </row>
    <row r="36" spans="1:12" ht="30" customHeight="1" x14ac:dyDescent="0.25">
      <c r="A36" s="11" t="s">
        <v>24</v>
      </c>
      <c r="B36" s="14" t="s">
        <v>48</v>
      </c>
      <c r="C36" s="2" t="s">
        <v>21</v>
      </c>
      <c r="D36" s="4">
        <v>75</v>
      </c>
      <c r="E36" s="6">
        <v>0</v>
      </c>
      <c r="F36" s="8">
        <v>0</v>
      </c>
      <c r="G36" s="10">
        <v>0</v>
      </c>
      <c r="H36" s="3">
        <f>50+1</f>
        <v>51</v>
      </c>
      <c r="I36" s="6">
        <v>0</v>
      </c>
      <c r="J36" s="8">
        <v>0</v>
      </c>
      <c r="K36" s="9">
        <f>95+3</f>
        <v>98</v>
      </c>
      <c r="L36" s="13">
        <f t="shared" si="0"/>
        <v>-74</v>
      </c>
    </row>
    <row r="37" spans="1:12" ht="30" customHeight="1" x14ac:dyDescent="0.25">
      <c r="A37" s="11" t="s">
        <v>24</v>
      </c>
      <c r="B37" s="14" t="s">
        <v>49</v>
      </c>
      <c r="C37" s="2" t="s">
        <v>21</v>
      </c>
      <c r="D37" s="3">
        <f>20+5</f>
        <v>25</v>
      </c>
      <c r="E37" s="6">
        <v>0</v>
      </c>
      <c r="F37" s="8">
        <v>0</v>
      </c>
      <c r="G37" s="10">
        <v>0</v>
      </c>
      <c r="H37" s="4">
        <v>10</v>
      </c>
      <c r="I37" s="6">
        <v>0</v>
      </c>
      <c r="J37" s="8">
        <v>0</v>
      </c>
      <c r="K37" s="9">
        <f>44+6</f>
        <v>50</v>
      </c>
      <c r="L37" s="13">
        <f t="shared" si="0"/>
        <v>-35</v>
      </c>
    </row>
    <row r="38" spans="1:12" ht="30" customHeight="1" x14ac:dyDescent="0.25">
      <c r="A38" s="11" t="s">
        <v>24</v>
      </c>
      <c r="B38" s="14" t="s">
        <v>50</v>
      </c>
      <c r="C38" s="2" t="s">
        <v>21</v>
      </c>
      <c r="D38" s="3">
        <f>42+8</f>
        <v>50</v>
      </c>
      <c r="E38" s="6">
        <v>0</v>
      </c>
      <c r="F38" s="8">
        <v>0</v>
      </c>
      <c r="G38" s="10">
        <v>0</v>
      </c>
      <c r="H38" s="3">
        <f>24+2</f>
        <v>26</v>
      </c>
      <c r="I38" s="6">
        <v>9</v>
      </c>
      <c r="J38" s="7">
        <f>11+1</f>
        <v>12</v>
      </c>
      <c r="K38" s="9">
        <f>22+5</f>
        <v>27</v>
      </c>
      <c r="L38" s="13">
        <f t="shared" si="0"/>
        <v>-24</v>
      </c>
    </row>
    <row r="39" spans="1:12" ht="30" customHeight="1" x14ac:dyDescent="0.25">
      <c r="A39" s="11" t="s">
        <v>24</v>
      </c>
      <c r="B39" s="11" t="s">
        <v>51</v>
      </c>
      <c r="C39" s="2" t="s">
        <v>22</v>
      </c>
      <c r="D39" s="4">
        <v>43</v>
      </c>
      <c r="E39" s="6">
        <v>0</v>
      </c>
      <c r="F39" s="8">
        <v>0</v>
      </c>
      <c r="G39" s="10">
        <v>0</v>
      </c>
      <c r="H39" s="4">
        <v>42</v>
      </c>
      <c r="I39" s="6">
        <v>0</v>
      </c>
      <c r="J39" s="8">
        <v>0</v>
      </c>
      <c r="K39" s="10">
        <v>0</v>
      </c>
      <c r="L39" s="15">
        <f t="shared" si="0"/>
        <v>1</v>
      </c>
    </row>
    <row r="40" spans="1:12" ht="30" customHeight="1" x14ac:dyDescent="0.25">
      <c r="A40" s="11" t="s">
        <v>24</v>
      </c>
      <c r="B40" s="11" t="s">
        <v>52</v>
      </c>
      <c r="C40" s="2" t="s">
        <v>22</v>
      </c>
      <c r="D40" s="4">
        <v>84</v>
      </c>
      <c r="E40" s="6">
        <v>0</v>
      </c>
      <c r="F40" s="8">
        <v>0</v>
      </c>
      <c r="G40" s="10">
        <v>0</v>
      </c>
      <c r="H40" s="4">
        <v>27</v>
      </c>
      <c r="I40" s="6">
        <v>3</v>
      </c>
      <c r="J40" s="8">
        <v>0</v>
      </c>
      <c r="K40" s="10">
        <v>47</v>
      </c>
      <c r="L40" s="15">
        <f t="shared" si="0"/>
        <v>7</v>
      </c>
    </row>
    <row r="41" spans="1:12" ht="30" customHeight="1" x14ac:dyDescent="0.25">
      <c r="A41" s="11" t="s">
        <v>24</v>
      </c>
      <c r="B41" s="11" t="s">
        <v>53</v>
      </c>
      <c r="C41" s="2" t="s">
        <v>149</v>
      </c>
      <c r="D41" s="4">
        <f>5+0</f>
        <v>5</v>
      </c>
      <c r="E41" s="6">
        <f>5+0</f>
        <v>5</v>
      </c>
      <c r="F41" s="8">
        <f>2+0</f>
        <v>2</v>
      </c>
      <c r="G41" s="10">
        <f>5+0</f>
        <v>5</v>
      </c>
      <c r="H41" s="4">
        <f>5+0</f>
        <v>5</v>
      </c>
      <c r="I41" s="6">
        <f>1+0</f>
        <v>1</v>
      </c>
      <c r="J41" s="8">
        <f>3+0</f>
        <v>3</v>
      </c>
      <c r="K41" s="10">
        <f>0+0</f>
        <v>0</v>
      </c>
      <c r="L41" s="15">
        <f t="shared" si="0"/>
        <v>8</v>
      </c>
    </row>
    <row r="42" spans="1:12" ht="30" customHeight="1" x14ac:dyDescent="0.25">
      <c r="A42" s="11" t="s">
        <v>24</v>
      </c>
      <c r="B42" s="11" t="s">
        <v>54</v>
      </c>
      <c r="C42" s="2" t="s">
        <v>149</v>
      </c>
      <c r="D42" s="4">
        <f>42+2</f>
        <v>44</v>
      </c>
      <c r="E42" s="6">
        <f>20+0</f>
        <v>20</v>
      </c>
      <c r="F42" s="8">
        <f>10+0</f>
        <v>10</v>
      </c>
      <c r="G42" s="10">
        <f>0+0</f>
        <v>0</v>
      </c>
      <c r="H42" s="4">
        <f>19+0</f>
        <v>19</v>
      </c>
      <c r="I42" s="6">
        <f>14+0</f>
        <v>14</v>
      </c>
      <c r="J42" s="8">
        <f>5+0</f>
        <v>5</v>
      </c>
      <c r="K42" s="10">
        <f>30+1</f>
        <v>31</v>
      </c>
      <c r="L42" s="15">
        <f t="shared" si="0"/>
        <v>5</v>
      </c>
    </row>
    <row r="43" spans="1:12" ht="30" customHeight="1" x14ac:dyDescent="0.25">
      <c r="A43" s="11" t="s">
        <v>24</v>
      </c>
      <c r="B43" s="11" t="s">
        <v>55</v>
      </c>
      <c r="C43" s="2" t="s">
        <v>149</v>
      </c>
      <c r="D43" s="4">
        <f>6+0</f>
        <v>6</v>
      </c>
      <c r="E43" s="6">
        <f>0+0</f>
        <v>0</v>
      </c>
      <c r="F43" s="8">
        <f>0+0</f>
        <v>0</v>
      </c>
      <c r="G43" s="10">
        <f>6+2</f>
        <v>8</v>
      </c>
      <c r="H43" s="4">
        <f>12+2</f>
        <v>14</v>
      </c>
      <c r="I43" s="6">
        <f>0+0</f>
        <v>0</v>
      </c>
      <c r="J43" s="8">
        <f>0+0</f>
        <v>0</v>
      </c>
      <c r="K43" s="10">
        <f>14+0</f>
        <v>14</v>
      </c>
      <c r="L43" s="13">
        <f t="shared" si="0"/>
        <v>-14</v>
      </c>
    </row>
    <row r="44" spans="1:12" ht="30" customHeight="1" x14ac:dyDescent="0.25">
      <c r="A44" s="11" t="s">
        <v>24</v>
      </c>
      <c r="B44" s="11" t="s">
        <v>56</v>
      </c>
      <c r="C44" s="2" t="s">
        <v>149</v>
      </c>
      <c r="D44" s="4">
        <f>4+2</f>
        <v>6</v>
      </c>
      <c r="E44" s="6">
        <f>4+2</f>
        <v>6</v>
      </c>
      <c r="F44" s="8">
        <f t="shared" ref="F44:F47" si="1">0+0</f>
        <v>0</v>
      </c>
      <c r="G44" s="10">
        <f>0+0</f>
        <v>0</v>
      </c>
      <c r="H44" s="4">
        <f>2+1</f>
        <v>3</v>
      </c>
      <c r="I44" s="6">
        <f>2+0</f>
        <v>2</v>
      </c>
      <c r="J44" s="8">
        <f>0+0</f>
        <v>0</v>
      </c>
      <c r="K44" s="10">
        <f>0+0</f>
        <v>0</v>
      </c>
      <c r="L44" s="15">
        <f t="shared" si="0"/>
        <v>7</v>
      </c>
    </row>
    <row r="45" spans="1:12" ht="30" customHeight="1" x14ac:dyDescent="0.25">
      <c r="A45" s="11" t="s">
        <v>24</v>
      </c>
      <c r="B45" s="11" t="s">
        <v>57</v>
      </c>
      <c r="C45" s="2" t="s">
        <v>149</v>
      </c>
      <c r="D45" s="4">
        <f>0+0</f>
        <v>0</v>
      </c>
      <c r="E45" s="6">
        <f>0+0</f>
        <v>0</v>
      </c>
      <c r="F45" s="8">
        <f t="shared" si="1"/>
        <v>0</v>
      </c>
      <c r="G45" s="10">
        <f>40+0</f>
        <v>40</v>
      </c>
      <c r="H45" s="4">
        <f>69+11</f>
        <v>80</v>
      </c>
      <c r="I45" s="6">
        <f>95+2</f>
        <v>97</v>
      </c>
      <c r="J45" s="8">
        <f>0+0</f>
        <v>0</v>
      </c>
      <c r="K45" s="10">
        <f>101+0</f>
        <v>101</v>
      </c>
      <c r="L45" s="13">
        <f t="shared" si="0"/>
        <v>-238</v>
      </c>
    </row>
    <row r="46" spans="1:12" ht="30" customHeight="1" x14ac:dyDescent="0.25">
      <c r="A46" s="11" t="s">
        <v>24</v>
      </c>
      <c r="B46" s="11" t="s">
        <v>58</v>
      </c>
      <c r="C46" s="2" t="s">
        <v>149</v>
      </c>
      <c r="D46" s="4">
        <f>57+6</f>
        <v>63</v>
      </c>
      <c r="E46" s="6">
        <f>31+2</f>
        <v>33</v>
      </c>
      <c r="F46" s="8">
        <f t="shared" si="1"/>
        <v>0</v>
      </c>
      <c r="G46" s="10">
        <f>56+6</f>
        <v>62</v>
      </c>
      <c r="H46" s="4">
        <f>131+1</f>
        <v>132</v>
      </c>
      <c r="I46" s="6">
        <f>39+1</f>
        <v>40</v>
      </c>
      <c r="J46" s="8">
        <f>12+0</f>
        <v>12</v>
      </c>
      <c r="K46" s="10">
        <f>115+4</f>
        <v>119</v>
      </c>
      <c r="L46" s="13">
        <f t="shared" si="0"/>
        <v>-145</v>
      </c>
    </row>
    <row r="47" spans="1:12" ht="30" customHeight="1" x14ac:dyDescent="0.25">
      <c r="A47" s="11" t="s">
        <v>24</v>
      </c>
      <c r="B47" s="11" t="s">
        <v>59</v>
      </c>
      <c r="C47" s="2" t="s">
        <v>149</v>
      </c>
      <c r="D47" s="4">
        <f>15+1</f>
        <v>16</v>
      </c>
      <c r="E47" s="6">
        <f>15+1</f>
        <v>16</v>
      </c>
      <c r="F47" s="8">
        <f t="shared" si="1"/>
        <v>0</v>
      </c>
      <c r="G47" s="10">
        <f>0+0</f>
        <v>0</v>
      </c>
      <c r="H47" s="4">
        <f>8+0</f>
        <v>8</v>
      </c>
      <c r="I47" s="6">
        <f>10+1</f>
        <v>11</v>
      </c>
      <c r="J47" s="8">
        <f>0+0</f>
        <v>0</v>
      </c>
      <c r="K47" s="10">
        <f>15+0</f>
        <v>15</v>
      </c>
      <c r="L47" s="13">
        <f t="shared" si="0"/>
        <v>-2</v>
      </c>
    </row>
    <row r="48" spans="1:12" ht="30" customHeight="1" x14ac:dyDescent="0.25">
      <c r="A48" s="11" t="s">
        <v>24</v>
      </c>
      <c r="B48" s="11" t="s">
        <v>60</v>
      </c>
      <c r="C48" s="2" t="s">
        <v>149</v>
      </c>
      <c r="D48" s="4">
        <f>19+4</f>
        <v>23</v>
      </c>
      <c r="E48" s="6">
        <f>5+0</f>
        <v>5</v>
      </c>
      <c r="F48" s="8">
        <f>3+0</f>
        <v>3</v>
      </c>
      <c r="G48" s="10">
        <f t="shared" ref="G48:G51" si="2">0+0</f>
        <v>0</v>
      </c>
      <c r="H48" s="4">
        <f>9+2</f>
        <v>11</v>
      </c>
      <c r="I48" s="6">
        <f>1+0</f>
        <v>1</v>
      </c>
      <c r="J48" s="8">
        <f>5+1</f>
        <v>6</v>
      </c>
      <c r="K48" s="10">
        <f>5+0</f>
        <v>5</v>
      </c>
      <c r="L48" s="15">
        <f t="shared" si="0"/>
        <v>8</v>
      </c>
    </row>
    <row r="49" spans="1:12" ht="30" customHeight="1" x14ac:dyDescent="0.25">
      <c r="A49" s="11" t="s">
        <v>24</v>
      </c>
      <c r="B49" s="11" t="s">
        <v>61</v>
      </c>
      <c r="C49" s="2" t="s">
        <v>149</v>
      </c>
      <c r="D49" s="4">
        <f>55+0</f>
        <v>55</v>
      </c>
      <c r="E49" s="6">
        <f>0+0</f>
        <v>0</v>
      </c>
      <c r="F49" s="8">
        <f>0+0</f>
        <v>0</v>
      </c>
      <c r="G49" s="10">
        <f t="shared" si="2"/>
        <v>0</v>
      </c>
      <c r="H49" s="4">
        <f>50+3</f>
        <v>53</v>
      </c>
      <c r="I49" s="6">
        <f>15+0</f>
        <v>15</v>
      </c>
      <c r="J49" s="8">
        <f>9+1</f>
        <v>10</v>
      </c>
      <c r="K49" s="10">
        <f>37+5</f>
        <v>42</v>
      </c>
      <c r="L49" s="13">
        <f t="shared" si="0"/>
        <v>-65</v>
      </c>
    </row>
    <row r="50" spans="1:12" ht="30" customHeight="1" x14ac:dyDescent="0.25">
      <c r="A50" s="11" t="s">
        <v>24</v>
      </c>
      <c r="B50" s="11" t="s">
        <v>62</v>
      </c>
      <c r="C50" s="2" t="s">
        <v>149</v>
      </c>
      <c r="D50" s="4">
        <f>0+0</f>
        <v>0</v>
      </c>
      <c r="E50" s="6">
        <f>0+0</f>
        <v>0</v>
      </c>
      <c r="F50" s="8">
        <f>0+0</f>
        <v>0</v>
      </c>
      <c r="G50" s="10">
        <f t="shared" si="2"/>
        <v>0</v>
      </c>
      <c r="H50" s="4">
        <f>29+11</f>
        <v>40</v>
      </c>
      <c r="I50" s="6">
        <f>1+1</f>
        <v>2</v>
      </c>
      <c r="J50" s="8">
        <f>3+0</f>
        <v>3</v>
      </c>
      <c r="K50" s="10">
        <f>0+0</f>
        <v>0</v>
      </c>
      <c r="L50" s="13">
        <f t="shared" si="0"/>
        <v>-45</v>
      </c>
    </row>
    <row r="51" spans="1:12" ht="30" customHeight="1" x14ac:dyDescent="0.25">
      <c r="A51" s="11" t="s">
        <v>24</v>
      </c>
      <c r="B51" s="11" t="s">
        <v>63</v>
      </c>
      <c r="C51" s="2" t="s">
        <v>149</v>
      </c>
      <c r="D51" s="4">
        <f>30+6</f>
        <v>36</v>
      </c>
      <c r="E51" s="6">
        <f>6+3</f>
        <v>9</v>
      </c>
      <c r="F51" s="8">
        <f>2+1</f>
        <v>3</v>
      </c>
      <c r="G51" s="10">
        <f t="shared" si="2"/>
        <v>0</v>
      </c>
      <c r="H51" s="4">
        <f>7+0</f>
        <v>7</v>
      </c>
      <c r="I51" s="6">
        <f>2+0</f>
        <v>2</v>
      </c>
      <c r="J51" s="8">
        <f>1+0</f>
        <v>1</v>
      </c>
      <c r="K51" s="10">
        <f>18+6</f>
        <v>24</v>
      </c>
      <c r="L51" s="15">
        <f t="shared" si="0"/>
        <v>14</v>
      </c>
    </row>
    <row r="52" spans="1:12" ht="30" customHeight="1" x14ac:dyDescent="0.25">
      <c r="A52" s="11" t="s">
        <v>24</v>
      </c>
      <c r="B52" s="11" t="s">
        <v>64</v>
      </c>
      <c r="C52" s="2" t="s">
        <v>149</v>
      </c>
      <c r="D52" s="4">
        <f>8+0</f>
        <v>8</v>
      </c>
      <c r="E52" s="6">
        <f>4+0</f>
        <v>4</v>
      </c>
      <c r="F52" s="8">
        <f>0+0</f>
        <v>0</v>
      </c>
      <c r="G52" s="10">
        <f>8+0</f>
        <v>8</v>
      </c>
      <c r="H52" s="4">
        <f>16+0</f>
        <v>16</v>
      </c>
      <c r="I52" s="6">
        <f>18+0</f>
        <v>18</v>
      </c>
      <c r="J52" s="8">
        <f>0+0</f>
        <v>0</v>
      </c>
      <c r="K52" s="10">
        <f>16+0</f>
        <v>16</v>
      </c>
      <c r="L52" s="13">
        <f t="shared" si="0"/>
        <v>-30</v>
      </c>
    </row>
    <row r="53" spans="1:12" ht="30" customHeight="1" x14ac:dyDescent="0.25">
      <c r="A53" s="11" t="s">
        <v>24</v>
      </c>
      <c r="B53" s="11" t="s">
        <v>65</v>
      </c>
      <c r="C53" s="2" t="s">
        <v>149</v>
      </c>
      <c r="D53" s="4">
        <f>44+0</f>
        <v>44</v>
      </c>
      <c r="E53" s="6">
        <f>12+0</f>
        <v>12</v>
      </c>
      <c r="F53" s="8">
        <f>12+0</f>
        <v>12</v>
      </c>
      <c r="G53" s="10">
        <f>0+0</f>
        <v>0</v>
      </c>
      <c r="H53" s="4">
        <f>52+3</f>
        <v>55</v>
      </c>
      <c r="I53" s="6">
        <f>16+1</f>
        <v>17</v>
      </c>
      <c r="J53" s="8">
        <f>16+0</f>
        <v>16</v>
      </c>
      <c r="K53" s="10">
        <f>37+4</f>
        <v>41</v>
      </c>
      <c r="L53" s="13">
        <f t="shared" si="0"/>
        <v>-61</v>
      </c>
    </row>
    <row r="54" spans="1:12" ht="30" customHeight="1" x14ac:dyDescent="0.25">
      <c r="A54" s="11" t="s">
        <v>24</v>
      </c>
      <c r="B54" s="11" t="s">
        <v>66</v>
      </c>
      <c r="C54" s="2" t="s">
        <v>149</v>
      </c>
      <c r="D54" s="4">
        <f>64+0</f>
        <v>64</v>
      </c>
      <c r="E54" s="6">
        <f>24+4</f>
        <v>28</v>
      </c>
      <c r="F54" s="8">
        <f>15+0</f>
        <v>15</v>
      </c>
      <c r="G54" s="10">
        <f>0+0</f>
        <v>0</v>
      </c>
      <c r="H54" s="4">
        <f>77+7</f>
        <v>84</v>
      </c>
      <c r="I54" s="6">
        <f>27+7</f>
        <v>34</v>
      </c>
      <c r="J54" s="8">
        <f>21+3</f>
        <v>24</v>
      </c>
      <c r="K54" s="10">
        <f>35+4</f>
        <v>39</v>
      </c>
      <c r="L54" s="13">
        <f t="shared" si="0"/>
        <v>-74</v>
      </c>
    </row>
    <row r="55" spans="1:12" ht="30" customHeight="1" x14ac:dyDescent="0.25">
      <c r="A55" s="11" t="s">
        <v>24</v>
      </c>
      <c r="B55" s="11" t="s">
        <v>67</v>
      </c>
      <c r="C55" s="2" t="s">
        <v>149</v>
      </c>
      <c r="D55" s="4">
        <f>56+2</f>
        <v>58</v>
      </c>
      <c r="E55" s="6">
        <f>0+0</f>
        <v>0</v>
      </c>
      <c r="F55" s="8">
        <f>0+0</f>
        <v>0</v>
      </c>
      <c r="G55" s="10">
        <f>0+0</f>
        <v>0</v>
      </c>
      <c r="H55" s="4">
        <f>92+0</f>
        <v>92</v>
      </c>
      <c r="I55" s="6">
        <f>0+0</f>
        <v>0</v>
      </c>
      <c r="J55" s="8">
        <f>0+0</f>
        <v>0</v>
      </c>
      <c r="K55" s="10">
        <f>0+0</f>
        <v>0</v>
      </c>
      <c r="L55" s="13">
        <f t="shared" si="0"/>
        <v>-34</v>
      </c>
    </row>
    <row r="56" spans="1:12" ht="30" customHeight="1" x14ac:dyDescent="0.25">
      <c r="A56" s="11" t="s">
        <v>24</v>
      </c>
      <c r="B56" s="11" t="s">
        <v>68</v>
      </c>
      <c r="C56" s="2" t="s">
        <v>149</v>
      </c>
      <c r="D56" s="4">
        <f>0+0</f>
        <v>0</v>
      </c>
      <c r="E56" s="6">
        <f>3+3</f>
        <v>6</v>
      </c>
      <c r="F56" s="8">
        <f t="shared" ref="F56:F58" si="3">0+0</f>
        <v>0</v>
      </c>
      <c r="G56" s="10">
        <f>10+0</f>
        <v>10</v>
      </c>
      <c r="H56" s="4">
        <f>7+1</f>
        <v>8</v>
      </c>
      <c r="I56" s="6">
        <f>6+0</f>
        <v>6</v>
      </c>
      <c r="J56" s="8">
        <f>4+0</f>
        <v>4</v>
      </c>
      <c r="K56" s="10">
        <f>2+0</f>
        <v>2</v>
      </c>
      <c r="L56" s="13">
        <f t="shared" si="0"/>
        <v>-4</v>
      </c>
    </row>
    <row r="57" spans="1:12" ht="30" customHeight="1" x14ac:dyDescent="0.25">
      <c r="A57" s="11" t="s">
        <v>24</v>
      </c>
      <c r="B57" s="11" t="s">
        <v>69</v>
      </c>
      <c r="C57" s="2" t="s">
        <v>149</v>
      </c>
      <c r="D57" s="4">
        <f>0+0</f>
        <v>0</v>
      </c>
      <c r="E57" s="6">
        <f>0+0</f>
        <v>0</v>
      </c>
      <c r="F57" s="8">
        <f t="shared" si="3"/>
        <v>0</v>
      </c>
      <c r="G57" s="10">
        <f>31+0</f>
        <v>31</v>
      </c>
      <c r="H57" s="4">
        <f>21+1</f>
        <v>22</v>
      </c>
      <c r="I57" s="6">
        <f>15+2</f>
        <v>17</v>
      </c>
      <c r="J57" s="8">
        <f>38+6</f>
        <v>44</v>
      </c>
      <c r="K57" s="10">
        <f>43+3</f>
        <v>46</v>
      </c>
      <c r="L57" s="13">
        <f t="shared" si="0"/>
        <v>-98</v>
      </c>
    </row>
    <row r="58" spans="1:12" ht="30" customHeight="1" x14ac:dyDescent="0.25">
      <c r="A58" s="11" t="s">
        <v>24</v>
      </c>
      <c r="B58" s="11" t="s">
        <v>33</v>
      </c>
      <c r="C58" s="2" t="s">
        <v>149</v>
      </c>
      <c r="D58" s="4">
        <f>50+6</f>
        <v>56</v>
      </c>
      <c r="E58" s="6">
        <f>33+6</f>
        <v>39</v>
      </c>
      <c r="F58" s="8">
        <f t="shared" si="3"/>
        <v>0</v>
      </c>
      <c r="G58" s="10">
        <f>0+6</f>
        <v>6</v>
      </c>
      <c r="H58" s="4">
        <f>121+7</f>
        <v>128</v>
      </c>
      <c r="I58" s="6">
        <f>54+1</f>
        <v>55</v>
      </c>
      <c r="J58" s="8">
        <f>0+0</f>
        <v>0</v>
      </c>
      <c r="K58" s="10">
        <f>2+0</f>
        <v>2</v>
      </c>
      <c r="L58" s="13">
        <f t="shared" si="0"/>
        <v>-84</v>
      </c>
    </row>
    <row r="59" spans="1:12" ht="30" customHeight="1" x14ac:dyDescent="0.25">
      <c r="A59" s="11" t="s">
        <v>24</v>
      </c>
      <c r="B59" s="11" t="s">
        <v>70</v>
      </c>
      <c r="C59" s="2" t="s">
        <v>149</v>
      </c>
      <c r="D59" s="4">
        <f>27+2</f>
        <v>29</v>
      </c>
      <c r="E59" s="6">
        <f>11+2</f>
        <v>13</v>
      </c>
      <c r="F59" s="8">
        <f>6+1</f>
        <v>7</v>
      </c>
      <c r="G59" s="10">
        <f>20+2</f>
        <v>22</v>
      </c>
      <c r="H59" s="4">
        <f>27+2</f>
        <v>29</v>
      </c>
      <c r="I59" s="6">
        <f>11+2</f>
        <v>13</v>
      </c>
      <c r="J59" s="8">
        <f>6+1</f>
        <v>7</v>
      </c>
      <c r="K59" s="10">
        <f>20+2</f>
        <v>22</v>
      </c>
      <c r="L59" s="15">
        <f t="shared" si="0"/>
        <v>0</v>
      </c>
    </row>
    <row r="60" spans="1:12" ht="30" customHeight="1" x14ac:dyDescent="0.25">
      <c r="A60" s="11" t="s">
        <v>24</v>
      </c>
      <c r="B60" s="11" t="s">
        <v>71</v>
      </c>
      <c r="C60" s="2" t="s">
        <v>149</v>
      </c>
      <c r="D60" s="4">
        <f>16+4</f>
        <v>20</v>
      </c>
      <c r="E60" s="6">
        <f>4+0</f>
        <v>4</v>
      </c>
      <c r="F60" s="8">
        <f>0+0</f>
        <v>0</v>
      </c>
      <c r="G60" s="10">
        <f>16+0</f>
        <v>16</v>
      </c>
      <c r="H60" s="4">
        <f>10+0</f>
        <v>10</v>
      </c>
      <c r="I60" s="6">
        <f>8+0</f>
        <v>8</v>
      </c>
      <c r="J60" s="8">
        <f>9+0</f>
        <v>9</v>
      </c>
      <c r="K60" s="10">
        <f>18+0</f>
        <v>18</v>
      </c>
      <c r="L60" s="13">
        <f t="shared" si="0"/>
        <v>-5</v>
      </c>
    </row>
    <row r="61" spans="1:12" ht="30" customHeight="1" x14ac:dyDescent="0.25">
      <c r="A61" s="11" t="s">
        <v>24</v>
      </c>
      <c r="B61" s="11" t="s">
        <v>72</v>
      </c>
      <c r="C61" s="2" t="s">
        <v>149</v>
      </c>
      <c r="D61" s="4">
        <f>0+0</f>
        <v>0</v>
      </c>
      <c r="E61" s="6">
        <f>0+0</f>
        <v>0</v>
      </c>
      <c r="F61" s="8">
        <f>0+0</f>
        <v>0</v>
      </c>
      <c r="G61" s="10">
        <f>0+0</f>
        <v>0</v>
      </c>
      <c r="H61" s="4">
        <f>10+0</f>
        <v>10</v>
      </c>
      <c r="I61" s="6">
        <f>7+0</f>
        <v>7</v>
      </c>
      <c r="J61" s="8">
        <f>0+0</f>
        <v>0</v>
      </c>
      <c r="K61" s="10">
        <f>0+0</f>
        <v>0</v>
      </c>
      <c r="L61" s="13">
        <f t="shared" si="0"/>
        <v>-17</v>
      </c>
    </row>
    <row r="62" spans="1:12" ht="30" customHeight="1" x14ac:dyDescent="0.25">
      <c r="A62" s="11" t="s">
        <v>24</v>
      </c>
      <c r="B62" s="11" t="s">
        <v>73</v>
      </c>
      <c r="C62" s="2" t="s">
        <v>149</v>
      </c>
      <c r="D62" s="4">
        <f>24+2</f>
        <v>26</v>
      </c>
      <c r="E62" s="6">
        <f>5+0</f>
        <v>5</v>
      </c>
      <c r="F62" s="8">
        <f>5+0</f>
        <v>5</v>
      </c>
      <c r="G62" s="10">
        <f>6+0</f>
        <v>6</v>
      </c>
      <c r="H62" s="4">
        <f>3+0</f>
        <v>3</v>
      </c>
      <c r="I62" s="6">
        <f>4+0</f>
        <v>4</v>
      </c>
      <c r="J62" s="8">
        <f>4+0</f>
        <v>4</v>
      </c>
      <c r="K62" s="10">
        <f>3+0</f>
        <v>3</v>
      </c>
      <c r="L62" s="15">
        <f t="shared" si="0"/>
        <v>28</v>
      </c>
    </row>
    <row r="63" spans="1:12" ht="30" customHeight="1" x14ac:dyDescent="0.25">
      <c r="A63" s="11" t="s">
        <v>24</v>
      </c>
      <c r="B63" s="11" t="s">
        <v>74</v>
      </c>
      <c r="C63" s="2" t="s">
        <v>149</v>
      </c>
      <c r="D63" s="4">
        <f>22+2</f>
        <v>24</v>
      </c>
      <c r="E63" s="6">
        <f>12+0</f>
        <v>12</v>
      </c>
      <c r="F63" s="8">
        <f>1+0</f>
        <v>1</v>
      </c>
      <c r="G63" s="10">
        <f>6+0</f>
        <v>6</v>
      </c>
      <c r="H63" s="4">
        <f>18+0</f>
        <v>18</v>
      </c>
      <c r="I63" s="6">
        <f>8+1</f>
        <v>9</v>
      </c>
      <c r="J63" s="8">
        <f>1+0</f>
        <v>1</v>
      </c>
      <c r="K63" s="10">
        <f>18+0</f>
        <v>18</v>
      </c>
      <c r="L63" s="13">
        <f t="shared" si="0"/>
        <v>-3</v>
      </c>
    </row>
    <row r="64" spans="1:12" ht="30" customHeight="1" x14ac:dyDescent="0.25">
      <c r="A64" s="11" t="s">
        <v>24</v>
      </c>
      <c r="B64" s="11" t="s">
        <v>75</v>
      </c>
      <c r="C64" s="2" t="s">
        <v>149</v>
      </c>
      <c r="D64" s="4">
        <f>25+6</f>
        <v>31</v>
      </c>
      <c r="E64" s="6">
        <f>15+2</f>
        <v>17</v>
      </c>
      <c r="F64" s="8">
        <f>10+2</f>
        <v>12</v>
      </c>
      <c r="G64" s="10">
        <f>8+1</f>
        <v>9</v>
      </c>
      <c r="H64" s="4">
        <f>15+2</f>
        <v>17</v>
      </c>
      <c r="I64" s="6">
        <f>10+1</f>
        <v>11</v>
      </c>
      <c r="J64" s="8">
        <f>5+1</f>
        <v>6</v>
      </c>
      <c r="K64" s="10">
        <f>3+1</f>
        <v>4</v>
      </c>
      <c r="L64" s="15">
        <f t="shared" si="0"/>
        <v>31</v>
      </c>
    </row>
    <row r="65" spans="1:12" ht="30" customHeight="1" x14ac:dyDescent="0.25">
      <c r="A65" s="11" t="s">
        <v>24</v>
      </c>
      <c r="B65" s="11" t="s">
        <v>76</v>
      </c>
      <c r="C65" s="2" t="s">
        <v>149</v>
      </c>
      <c r="D65" s="4">
        <f>40+0</f>
        <v>40</v>
      </c>
      <c r="E65" s="6">
        <f t="shared" ref="E65:G67" si="4">0+0</f>
        <v>0</v>
      </c>
      <c r="F65" s="8">
        <f t="shared" si="4"/>
        <v>0</v>
      </c>
      <c r="G65" s="10">
        <f t="shared" si="4"/>
        <v>0</v>
      </c>
      <c r="H65" s="4">
        <f>15+0</f>
        <v>15</v>
      </c>
      <c r="I65" s="6">
        <f>0+0</f>
        <v>0</v>
      </c>
      <c r="J65" s="8">
        <f>0+0</f>
        <v>0</v>
      </c>
      <c r="K65" s="10">
        <f>28+1</f>
        <v>29</v>
      </c>
      <c r="L65" s="13">
        <f t="shared" si="0"/>
        <v>-4</v>
      </c>
    </row>
    <row r="66" spans="1:12" ht="30" customHeight="1" x14ac:dyDescent="0.25">
      <c r="A66" s="11" t="s">
        <v>24</v>
      </c>
      <c r="B66" s="11" t="s">
        <v>77</v>
      </c>
      <c r="C66" s="2" t="s">
        <v>149</v>
      </c>
      <c r="D66" s="4">
        <f>28+4</f>
        <v>32</v>
      </c>
      <c r="E66" s="6">
        <f t="shared" si="4"/>
        <v>0</v>
      </c>
      <c r="F66" s="8">
        <f t="shared" si="4"/>
        <v>0</v>
      </c>
      <c r="G66" s="10">
        <f t="shared" si="4"/>
        <v>0</v>
      </c>
      <c r="H66" s="4">
        <f>5+0</f>
        <v>5</v>
      </c>
      <c r="I66" s="6">
        <f>0+0</f>
        <v>0</v>
      </c>
      <c r="J66" s="8">
        <f>0+0</f>
        <v>0</v>
      </c>
      <c r="K66" s="10">
        <f>14+3</f>
        <v>17</v>
      </c>
      <c r="L66" s="15">
        <f t="shared" si="0"/>
        <v>10</v>
      </c>
    </row>
    <row r="67" spans="1:12" ht="30" customHeight="1" x14ac:dyDescent="0.25">
      <c r="A67" s="11" t="s">
        <v>24</v>
      </c>
      <c r="B67" s="11" t="s">
        <v>78</v>
      </c>
      <c r="C67" s="2" t="s">
        <v>149</v>
      </c>
      <c r="D67" s="4">
        <f>0+0</f>
        <v>0</v>
      </c>
      <c r="E67" s="6">
        <f t="shared" si="4"/>
        <v>0</v>
      </c>
      <c r="F67" s="8">
        <f t="shared" si="4"/>
        <v>0</v>
      </c>
      <c r="G67" s="10">
        <f t="shared" si="4"/>
        <v>0</v>
      </c>
      <c r="H67" s="4">
        <f>0+2</f>
        <v>2</v>
      </c>
      <c r="I67" s="6">
        <f>8+0</f>
        <v>8</v>
      </c>
      <c r="J67" s="8">
        <f>2+0</f>
        <v>2</v>
      </c>
      <c r="K67" s="10">
        <f>0+0</f>
        <v>0</v>
      </c>
      <c r="L67" s="13">
        <f t="shared" si="0"/>
        <v>-12</v>
      </c>
    </row>
    <row r="68" spans="1:12" ht="30" customHeight="1" x14ac:dyDescent="0.25">
      <c r="A68" s="11" t="s">
        <v>24</v>
      </c>
      <c r="B68" s="11" t="s">
        <v>79</v>
      </c>
      <c r="C68" s="2" t="s">
        <v>149</v>
      </c>
      <c r="D68" s="4">
        <f>53+5</f>
        <v>58</v>
      </c>
      <c r="E68" s="6">
        <f>7+3</f>
        <v>10</v>
      </c>
      <c r="F68" s="8">
        <f>6+2</f>
        <v>8</v>
      </c>
      <c r="G68" s="10">
        <f>20+0</f>
        <v>20</v>
      </c>
      <c r="H68" s="4">
        <f>22+1</f>
        <v>23</v>
      </c>
      <c r="I68" s="6">
        <f>10+1</f>
        <v>11</v>
      </c>
      <c r="J68" s="8">
        <f>8+1</f>
        <v>9</v>
      </c>
      <c r="K68" s="10">
        <f>28+1</f>
        <v>29</v>
      </c>
      <c r="L68" s="15">
        <f t="shared" si="0"/>
        <v>24</v>
      </c>
    </row>
    <row r="69" spans="1:12" ht="30" customHeight="1" x14ac:dyDescent="0.25">
      <c r="A69" s="11" t="s">
        <v>24</v>
      </c>
      <c r="B69" s="11" t="s">
        <v>80</v>
      </c>
      <c r="C69" s="2" t="s">
        <v>149</v>
      </c>
      <c r="D69" s="4">
        <f>0+0</f>
        <v>0</v>
      </c>
      <c r="E69" s="6">
        <f>0+0</f>
        <v>0</v>
      </c>
      <c r="F69" s="8">
        <f>0+0</f>
        <v>0</v>
      </c>
      <c r="G69" s="10">
        <f>0+0</f>
        <v>0</v>
      </c>
      <c r="H69" s="4">
        <f>31+6</f>
        <v>37</v>
      </c>
      <c r="I69" s="6">
        <f>14+2</f>
        <v>16</v>
      </c>
      <c r="J69" s="8">
        <f>8+1</f>
        <v>9</v>
      </c>
      <c r="K69" s="10">
        <f>35+3</f>
        <v>38</v>
      </c>
      <c r="L69" s="13">
        <f t="shared" si="0"/>
        <v>-100</v>
      </c>
    </row>
    <row r="70" spans="1:12" ht="30" customHeight="1" x14ac:dyDescent="0.25">
      <c r="A70" s="11" t="s">
        <v>24</v>
      </c>
      <c r="B70" s="11" t="s">
        <v>81</v>
      </c>
      <c r="C70" s="2" t="s">
        <v>149</v>
      </c>
      <c r="D70" s="4">
        <f>30+4</f>
        <v>34</v>
      </c>
      <c r="E70" s="6">
        <f>10+2</f>
        <v>12</v>
      </c>
      <c r="F70" s="8">
        <f>10+0</f>
        <v>10</v>
      </c>
      <c r="G70" s="10">
        <f>10+0</f>
        <v>10</v>
      </c>
      <c r="H70" s="4">
        <f>32+4</f>
        <v>36</v>
      </c>
      <c r="I70" s="6">
        <f>16+1</f>
        <v>17</v>
      </c>
      <c r="J70" s="8">
        <f>4+2</f>
        <v>6</v>
      </c>
      <c r="K70" s="10">
        <f>31+3</f>
        <v>34</v>
      </c>
      <c r="L70" s="13">
        <f t="shared" si="0"/>
        <v>-27</v>
      </c>
    </row>
    <row r="71" spans="1:12" ht="30" customHeight="1" x14ac:dyDescent="0.25">
      <c r="A71" s="11" t="s">
        <v>24</v>
      </c>
      <c r="B71" s="11" t="s">
        <v>82</v>
      </c>
      <c r="C71" s="2" t="s">
        <v>149</v>
      </c>
      <c r="D71" s="4">
        <f>86+0</f>
        <v>86</v>
      </c>
      <c r="E71" s="6">
        <f>0+0</f>
        <v>0</v>
      </c>
      <c r="F71" s="8">
        <f>0+0</f>
        <v>0</v>
      </c>
      <c r="G71" s="10">
        <f>0+0</f>
        <v>0</v>
      </c>
      <c r="H71" s="4">
        <f>26+0</f>
        <v>26</v>
      </c>
      <c r="I71" s="6">
        <f>0+0</f>
        <v>0</v>
      </c>
      <c r="J71" s="8">
        <f>0+0</f>
        <v>0</v>
      </c>
      <c r="K71" s="10">
        <f>0+0</f>
        <v>0</v>
      </c>
      <c r="L71" s="15">
        <f t="shared" si="0"/>
        <v>60</v>
      </c>
    </row>
    <row r="72" spans="1:12" ht="30" customHeight="1" x14ac:dyDescent="0.25">
      <c r="A72" s="11" t="s">
        <v>24</v>
      </c>
      <c r="B72" s="11" t="s">
        <v>83</v>
      </c>
      <c r="C72" s="2" t="s">
        <v>149</v>
      </c>
      <c r="D72" s="4">
        <f>16+2</f>
        <v>18</v>
      </c>
      <c r="E72" s="6">
        <f>10+0</f>
        <v>10</v>
      </c>
      <c r="F72" s="8">
        <f>10+0</f>
        <v>10</v>
      </c>
      <c r="G72" s="10">
        <f>16+2</f>
        <v>18</v>
      </c>
      <c r="H72" s="4">
        <f>27+4</f>
        <v>31</v>
      </c>
      <c r="I72" s="6">
        <f>16+0</f>
        <v>16</v>
      </c>
      <c r="J72" s="8">
        <f>4+0</f>
        <v>4</v>
      </c>
      <c r="K72" s="10">
        <f>32+4</f>
        <v>36</v>
      </c>
      <c r="L72" s="13">
        <f t="shared" si="0"/>
        <v>-31</v>
      </c>
    </row>
    <row r="73" spans="1:12" ht="30" customHeight="1" x14ac:dyDescent="0.25">
      <c r="A73" s="11" t="s">
        <v>24</v>
      </c>
      <c r="B73" s="11" t="s">
        <v>84</v>
      </c>
      <c r="C73" s="2" t="s">
        <v>149</v>
      </c>
      <c r="D73" s="4">
        <f>19+3</f>
        <v>22</v>
      </c>
      <c r="E73" s="6">
        <f>7+2</f>
        <v>9</v>
      </c>
      <c r="F73" s="8">
        <f>0+0</f>
        <v>0</v>
      </c>
      <c r="G73" s="10">
        <f>28+2</f>
        <v>30</v>
      </c>
      <c r="H73" s="4">
        <f>19+3</f>
        <v>22</v>
      </c>
      <c r="I73" s="6">
        <f>7+2</f>
        <v>9</v>
      </c>
      <c r="J73" s="8">
        <f>0+0</f>
        <v>0</v>
      </c>
      <c r="K73" s="10">
        <f>23+2</f>
        <v>25</v>
      </c>
      <c r="L73" s="15">
        <f t="shared" ref="L73:L136" si="5">(D73+E73+F73+G73)-(H73+I73+J73+K73)</f>
        <v>5</v>
      </c>
    </row>
    <row r="74" spans="1:12" ht="30" customHeight="1" x14ac:dyDescent="0.25">
      <c r="A74" s="11" t="s">
        <v>24</v>
      </c>
      <c r="B74" s="11" t="s">
        <v>85</v>
      </c>
      <c r="C74" s="2" t="s">
        <v>149</v>
      </c>
      <c r="D74" s="4">
        <f>17+4</f>
        <v>21</v>
      </c>
      <c r="E74" s="6">
        <f>10+2</f>
        <v>12</v>
      </c>
      <c r="F74" s="8">
        <f>7+1</f>
        <v>8</v>
      </c>
      <c r="G74" s="10">
        <f>15+1</f>
        <v>16</v>
      </c>
      <c r="H74" s="4">
        <f>26+2</f>
        <v>28</v>
      </c>
      <c r="I74" s="6">
        <f>15+1</f>
        <v>16</v>
      </c>
      <c r="J74" s="8">
        <f>10+1</f>
        <v>11</v>
      </c>
      <c r="K74" s="10">
        <f>38+1</f>
        <v>39</v>
      </c>
      <c r="L74" s="13">
        <f t="shared" si="5"/>
        <v>-37</v>
      </c>
    </row>
    <row r="75" spans="1:12" ht="30" customHeight="1" x14ac:dyDescent="0.25">
      <c r="A75" s="11" t="s">
        <v>24</v>
      </c>
      <c r="B75" s="11" t="s">
        <v>86</v>
      </c>
      <c r="C75" s="2" t="s">
        <v>149</v>
      </c>
      <c r="D75" s="4">
        <f>26+2</f>
        <v>28</v>
      </c>
      <c r="E75" s="6">
        <f>8+1</f>
        <v>9</v>
      </c>
      <c r="F75" s="8">
        <f>0+0</f>
        <v>0</v>
      </c>
      <c r="G75" s="10">
        <f>20+1</f>
        <v>21</v>
      </c>
      <c r="H75" s="4">
        <f>26+0</f>
        <v>26</v>
      </c>
      <c r="I75" s="6">
        <f>7+1</f>
        <v>8</v>
      </c>
      <c r="J75" s="8">
        <f>0+0</f>
        <v>0</v>
      </c>
      <c r="K75" s="10">
        <f>14+1</f>
        <v>15</v>
      </c>
      <c r="L75" s="15">
        <f t="shared" si="5"/>
        <v>9</v>
      </c>
    </row>
    <row r="76" spans="1:12" ht="30" customHeight="1" x14ac:dyDescent="0.25">
      <c r="A76" s="11" t="s">
        <v>24</v>
      </c>
      <c r="B76" s="11" t="s">
        <v>87</v>
      </c>
      <c r="C76" s="2" t="s">
        <v>149</v>
      </c>
      <c r="D76" s="4">
        <f>43+1</f>
        <v>44</v>
      </c>
      <c r="E76" s="6">
        <f>0+0</f>
        <v>0</v>
      </c>
      <c r="F76" s="8">
        <f>0+0</f>
        <v>0</v>
      </c>
      <c r="G76" s="10">
        <f>0+0</f>
        <v>0</v>
      </c>
      <c r="H76" s="4">
        <f>52+1</f>
        <v>53</v>
      </c>
      <c r="I76" s="6">
        <f>0+0</f>
        <v>0</v>
      </c>
      <c r="J76" s="8">
        <f>0+0</f>
        <v>0</v>
      </c>
      <c r="K76" s="10">
        <f>0+0</f>
        <v>0</v>
      </c>
      <c r="L76" s="13">
        <f t="shared" si="5"/>
        <v>-9</v>
      </c>
    </row>
    <row r="77" spans="1:12" ht="30" customHeight="1" x14ac:dyDescent="0.25">
      <c r="A77" s="11" t="s">
        <v>24</v>
      </c>
      <c r="B77" s="11" t="s">
        <v>88</v>
      </c>
      <c r="C77" s="2" t="s">
        <v>149</v>
      </c>
      <c r="D77" s="4">
        <f>0+4</f>
        <v>4</v>
      </c>
      <c r="E77" s="6">
        <f>0+0</f>
        <v>0</v>
      </c>
      <c r="F77" s="8">
        <f>0+0</f>
        <v>0</v>
      </c>
      <c r="G77" s="10">
        <f t="shared" ref="G77:G83" si="6">0+0</f>
        <v>0</v>
      </c>
      <c r="H77" s="4">
        <f>0+2</f>
        <v>2</v>
      </c>
      <c r="I77" s="6">
        <f>0+0</f>
        <v>0</v>
      </c>
      <c r="J77" s="8">
        <f>0+0</f>
        <v>0</v>
      </c>
      <c r="K77" s="10">
        <f>0+0</f>
        <v>0</v>
      </c>
      <c r="L77" s="15">
        <f t="shared" si="5"/>
        <v>2</v>
      </c>
    </row>
    <row r="78" spans="1:12" ht="30" customHeight="1" x14ac:dyDescent="0.25">
      <c r="A78" s="11" t="s">
        <v>24</v>
      </c>
      <c r="B78" s="11" t="s">
        <v>89</v>
      </c>
      <c r="C78" s="2" t="s">
        <v>149</v>
      </c>
      <c r="D78" s="4">
        <f>24+2</f>
        <v>26</v>
      </c>
      <c r="E78" s="6">
        <f>6+1</f>
        <v>7</v>
      </c>
      <c r="F78" s="8">
        <f>6+1</f>
        <v>7</v>
      </c>
      <c r="G78" s="10">
        <f t="shared" si="6"/>
        <v>0</v>
      </c>
      <c r="H78" s="4">
        <f>20+0</f>
        <v>20</v>
      </c>
      <c r="I78" s="6">
        <f>11+0</f>
        <v>11</v>
      </c>
      <c r="J78" s="8">
        <f>4+1</f>
        <v>5</v>
      </c>
      <c r="K78" s="10">
        <f>9+1</f>
        <v>10</v>
      </c>
      <c r="L78" s="13">
        <f t="shared" si="5"/>
        <v>-6</v>
      </c>
    </row>
    <row r="79" spans="1:12" ht="30" customHeight="1" x14ac:dyDescent="0.25">
      <c r="A79" s="11" t="s">
        <v>24</v>
      </c>
      <c r="B79" s="11" t="s">
        <v>90</v>
      </c>
      <c r="C79" s="2" t="s">
        <v>149</v>
      </c>
      <c r="D79" s="4">
        <f>12+2</f>
        <v>14</v>
      </c>
      <c r="E79" s="6">
        <f>0+0</f>
        <v>0</v>
      </c>
      <c r="F79" s="8">
        <f>0+0</f>
        <v>0</v>
      </c>
      <c r="G79" s="10">
        <f t="shared" si="6"/>
        <v>0</v>
      </c>
      <c r="H79" s="4">
        <f>34+5</f>
        <v>39</v>
      </c>
      <c r="I79" s="6">
        <f>0+0</f>
        <v>0</v>
      </c>
      <c r="J79" s="8">
        <f>0+0</f>
        <v>0</v>
      </c>
      <c r="K79" s="10">
        <f>10+1</f>
        <v>11</v>
      </c>
      <c r="L79" s="13">
        <f t="shared" si="5"/>
        <v>-36</v>
      </c>
    </row>
    <row r="80" spans="1:12" ht="30" customHeight="1" x14ac:dyDescent="0.25">
      <c r="A80" s="11" t="s">
        <v>24</v>
      </c>
      <c r="B80" s="11" t="s">
        <v>91</v>
      </c>
      <c r="C80" s="2" t="s">
        <v>149</v>
      </c>
      <c r="D80" s="4">
        <f>106+24</f>
        <v>130</v>
      </c>
      <c r="E80" s="6">
        <f>0+0</f>
        <v>0</v>
      </c>
      <c r="F80" s="8">
        <f t="shared" ref="F80:F90" si="7">0+0</f>
        <v>0</v>
      </c>
      <c r="G80" s="10">
        <f t="shared" si="6"/>
        <v>0</v>
      </c>
      <c r="H80" s="4">
        <f>49+2</f>
        <v>51</v>
      </c>
      <c r="I80" s="6">
        <f>0+0</f>
        <v>0</v>
      </c>
      <c r="J80" s="8">
        <f>0+0</f>
        <v>0</v>
      </c>
      <c r="K80" s="10">
        <f>80+3</f>
        <v>83</v>
      </c>
      <c r="L80" s="13">
        <f t="shared" si="5"/>
        <v>-4</v>
      </c>
    </row>
    <row r="81" spans="1:12" ht="30" customHeight="1" x14ac:dyDescent="0.25">
      <c r="A81" s="11" t="s">
        <v>24</v>
      </c>
      <c r="B81" s="11" t="s">
        <v>92</v>
      </c>
      <c r="C81" s="2" t="s">
        <v>149</v>
      </c>
      <c r="D81" s="4">
        <f>31+2</f>
        <v>33</v>
      </c>
      <c r="E81" s="6">
        <f t="shared" ref="E81:E82" si="8">0+0</f>
        <v>0</v>
      </c>
      <c r="F81" s="8">
        <f t="shared" si="7"/>
        <v>0</v>
      </c>
      <c r="G81" s="10">
        <f t="shared" si="6"/>
        <v>0</v>
      </c>
      <c r="H81" s="4">
        <f>20+0</f>
        <v>20</v>
      </c>
      <c r="I81" s="6">
        <f>10+0</f>
        <v>10</v>
      </c>
      <c r="J81" s="8">
        <f>3+0</f>
        <v>3</v>
      </c>
      <c r="K81" s="10">
        <f>13+2</f>
        <v>15</v>
      </c>
      <c r="L81" s="13">
        <f t="shared" si="5"/>
        <v>-15</v>
      </c>
    </row>
    <row r="82" spans="1:12" ht="30" customHeight="1" x14ac:dyDescent="0.25">
      <c r="A82" s="11" t="s">
        <v>24</v>
      </c>
      <c r="B82" s="11" t="s">
        <v>93</v>
      </c>
      <c r="C82" s="2" t="s">
        <v>149</v>
      </c>
      <c r="D82" s="4">
        <f>252+0</f>
        <v>252</v>
      </c>
      <c r="E82" s="6">
        <f t="shared" si="8"/>
        <v>0</v>
      </c>
      <c r="F82" s="8">
        <f t="shared" si="7"/>
        <v>0</v>
      </c>
      <c r="G82" s="10">
        <f t="shared" si="6"/>
        <v>0</v>
      </c>
      <c r="H82" s="4">
        <f>125+0</f>
        <v>125</v>
      </c>
      <c r="I82" s="6">
        <f>0+0</f>
        <v>0</v>
      </c>
      <c r="J82" s="8">
        <f>0+0</f>
        <v>0</v>
      </c>
      <c r="K82" s="10">
        <f>258+34</f>
        <v>292</v>
      </c>
      <c r="L82" s="13">
        <f t="shared" si="5"/>
        <v>-165</v>
      </c>
    </row>
    <row r="83" spans="1:12" ht="30" customHeight="1" x14ac:dyDescent="0.25">
      <c r="A83" s="11" t="s">
        <v>24</v>
      </c>
      <c r="B83" s="11" t="s">
        <v>94</v>
      </c>
      <c r="C83" s="2" t="s">
        <v>149</v>
      </c>
      <c r="D83" s="4">
        <f>7+1</f>
        <v>8</v>
      </c>
      <c r="E83" s="6">
        <f>3+3</f>
        <v>6</v>
      </c>
      <c r="F83" s="8">
        <f t="shared" si="7"/>
        <v>0</v>
      </c>
      <c r="G83" s="10">
        <f t="shared" si="6"/>
        <v>0</v>
      </c>
      <c r="H83" s="4">
        <f>7+1</f>
        <v>8</v>
      </c>
      <c r="I83" s="6">
        <f>3+3</f>
        <v>6</v>
      </c>
      <c r="J83" s="8">
        <f>0+0</f>
        <v>0</v>
      </c>
      <c r="K83" s="10">
        <f>0+0</f>
        <v>0</v>
      </c>
      <c r="L83" s="15">
        <f t="shared" si="5"/>
        <v>0</v>
      </c>
    </row>
    <row r="84" spans="1:12" ht="30" customHeight="1" x14ac:dyDescent="0.25">
      <c r="A84" s="11" t="s">
        <v>24</v>
      </c>
      <c r="B84" s="11" t="s">
        <v>95</v>
      </c>
      <c r="C84" s="2" t="s">
        <v>149</v>
      </c>
      <c r="D84" s="4">
        <f>16+4</f>
        <v>20</v>
      </c>
      <c r="E84" s="6">
        <f>20+0</f>
        <v>20</v>
      </c>
      <c r="F84" s="8">
        <f t="shared" si="7"/>
        <v>0</v>
      </c>
      <c r="G84" s="10">
        <f>18+0</f>
        <v>18</v>
      </c>
      <c r="H84" s="4">
        <f>20+1</f>
        <v>21</v>
      </c>
      <c r="I84" s="6">
        <f>4+0</f>
        <v>4</v>
      </c>
      <c r="J84" s="8">
        <f>0+0</f>
        <v>0</v>
      </c>
      <c r="K84" s="10">
        <f>47+4</f>
        <v>51</v>
      </c>
      <c r="L84" s="13">
        <f t="shared" si="5"/>
        <v>-18</v>
      </c>
    </row>
    <row r="85" spans="1:12" ht="30" customHeight="1" x14ac:dyDescent="0.25">
      <c r="A85" s="11" t="s">
        <v>24</v>
      </c>
      <c r="B85" s="11" t="s">
        <v>96</v>
      </c>
      <c r="C85" s="2" t="s">
        <v>149</v>
      </c>
      <c r="D85" s="4">
        <f>18+4</f>
        <v>22</v>
      </c>
      <c r="E85" s="6">
        <f>0+0</f>
        <v>0</v>
      </c>
      <c r="F85" s="8">
        <f t="shared" si="7"/>
        <v>0</v>
      </c>
      <c r="G85" s="10">
        <f>0+0</f>
        <v>0</v>
      </c>
      <c r="H85" s="4">
        <f>20+1</f>
        <v>21</v>
      </c>
      <c r="I85" s="6">
        <f>9+1</f>
        <v>10</v>
      </c>
      <c r="J85" s="8">
        <f>8+1</f>
        <v>9</v>
      </c>
      <c r="K85" s="10">
        <f>26+6</f>
        <v>32</v>
      </c>
      <c r="L85" s="13">
        <f t="shared" si="5"/>
        <v>-50</v>
      </c>
    </row>
    <row r="86" spans="1:12" ht="30" customHeight="1" x14ac:dyDescent="0.25">
      <c r="A86" s="11" t="s">
        <v>24</v>
      </c>
      <c r="B86" s="11" t="s">
        <v>97</v>
      </c>
      <c r="C86" s="2" t="s">
        <v>149</v>
      </c>
      <c r="D86" s="4">
        <f>40+36</f>
        <v>76</v>
      </c>
      <c r="E86" s="6">
        <f>40+0</f>
        <v>40</v>
      </c>
      <c r="F86" s="8">
        <f t="shared" si="7"/>
        <v>0</v>
      </c>
      <c r="G86" s="10">
        <f>0+0</f>
        <v>0</v>
      </c>
      <c r="H86" s="4">
        <f>46+4</f>
        <v>50</v>
      </c>
      <c r="I86" s="6">
        <f>40+2</f>
        <v>42</v>
      </c>
      <c r="J86" s="8">
        <f>19+0</f>
        <v>19</v>
      </c>
      <c r="K86" s="10">
        <f>48+2</f>
        <v>50</v>
      </c>
      <c r="L86" s="13">
        <f t="shared" si="5"/>
        <v>-45</v>
      </c>
    </row>
    <row r="87" spans="1:12" ht="30" customHeight="1" x14ac:dyDescent="0.25">
      <c r="A87" s="11" t="s">
        <v>24</v>
      </c>
      <c r="B87" s="11" t="s">
        <v>98</v>
      </c>
      <c r="C87" s="2" t="s">
        <v>149</v>
      </c>
      <c r="D87" s="4">
        <f>10+2</f>
        <v>12</v>
      </c>
      <c r="E87" s="6">
        <f>0+0</f>
        <v>0</v>
      </c>
      <c r="F87" s="8">
        <f t="shared" si="7"/>
        <v>0</v>
      </c>
      <c r="G87" s="10">
        <f>10+1</f>
        <v>11</v>
      </c>
      <c r="H87" s="4">
        <f>21+0</f>
        <v>21</v>
      </c>
      <c r="I87" s="6">
        <f>17+0</f>
        <v>17</v>
      </c>
      <c r="J87" s="8">
        <f>0+0</f>
        <v>0</v>
      </c>
      <c r="K87" s="10">
        <f>15+0</f>
        <v>15</v>
      </c>
      <c r="L87" s="13">
        <f t="shared" si="5"/>
        <v>-30</v>
      </c>
    </row>
    <row r="88" spans="1:12" ht="30" customHeight="1" x14ac:dyDescent="0.25">
      <c r="A88" s="11" t="s">
        <v>24</v>
      </c>
      <c r="B88" s="11" t="s">
        <v>99</v>
      </c>
      <c r="C88" s="2" t="s">
        <v>149</v>
      </c>
      <c r="D88" s="4">
        <f>31+0</f>
        <v>31</v>
      </c>
      <c r="E88" s="6">
        <f>18+0</f>
        <v>18</v>
      </c>
      <c r="F88" s="8">
        <f t="shared" si="7"/>
        <v>0</v>
      </c>
      <c r="G88" s="10">
        <f>31+0</f>
        <v>31</v>
      </c>
      <c r="H88" s="4">
        <f>30+0</f>
        <v>30</v>
      </c>
      <c r="I88" s="6">
        <f>12+0</f>
        <v>12</v>
      </c>
      <c r="J88" s="8">
        <f>0+0</f>
        <v>0</v>
      </c>
      <c r="K88" s="10">
        <f>68+0</f>
        <v>68</v>
      </c>
      <c r="L88" s="13">
        <f t="shared" si="5"/>
        <v>-30</v>
      </c>
    </row>
    <row r="89" spans="1:12" ht="30" customHeight="1" x14ac:dyDescent="0.25">
      <c r="A89" s="11" t="s">
        <v>24</v>
      </c>
      <c r="B89" s="11" t="s">
        <v>100</v>
      </c>
      <c r="C89" s="2" t="s">
        <v>149</v>
      </c>
      <c r="D89" s="4">
        <f>8+0</f>
        <v>8</v>
      </c>
      <c r="E89" s="6">
        <f>4+0</f>
        <v>4</v>
      </c>
      <c r="F89" s="8">
        <f t="shared" si="7"/>
        <v>0</v>
      </c>
      <c r="G89" s="10">
        <f>6+0</f>
        <v>6</v>
      </c>
      <c r="H89" s="4">
        <f>15+0</f>
        <v>15</v>
      </c>
      <c r="I89" s="6">
        <f>3+2</f>
        <v>5</v>
      </c>
      <c r="J89" s="8">
        <f>2+0</f>
        <v>2</v>
      </c>
      <c r="K89" s="10">
        <f>3+2</f>
        <v>5</v>
      </c>
      <c r="L89" s="13">
        <f t="shared" si="5"/>
        <v>-9</v>
      </c>
    </row>
    <row r="90" spans="1:12" ht="30" customHeight="1" x14ac:dyDescent="0.25">
      <c r="A90" s="11" t="s">
        <v>24</v>
      </c>
      <c r="B90" s="11" t="s">
        <v>101</v>
      </c>
      <c r="C90" s="2" t="s">
        <v>149</v>
      </c>
      <c r="D90" s="4">
        <f>16+2</f>
        <v>18</v>
      </c>
      <c r="E90" s="6">
        <f>0+0</f>
        <v>0</v>
      </c>
      <c r="F90" s="8">
        <f t="shared" si="7"/>
        <v>0</v>
      </c>
      <c r="G90" s="10">
        <f>4+2</f>
        <v>6</v>
      </c>
      <c r="H90" s="4">
        <f>3+0</f>
        <v>3</v>
      </c>
      <c r="I90" s="6">
        <f>5+0</f>
        <v>5</v>
      </c>
      <c r="J90" s="8">
        <f>0+0</f>
        <v>0</v>
      </c>
      <c r="K90" s="10">
        <f>8+0</f>
        <v>8</v>
      </c>
      <c r="L90" s="15">
        <f t="shared" si="5"/>
        <v>8</v>
      </c>
    </row>
    <row r="91" spans="1:12" ht="30" customHeight="1" x14ac:dyDescent="0.25">
      <c r="A91" s="11" t="s">
        <v>24</v>
      </c>
      <c r="B91" s="11" t="s">
        <v>102</v>
      </c>
      <c r="C91" s="2" t="s">
        <v>149</v>
      </c>
      <c r="D91" s="4">
        <f>4+1</f>
        <v>5</v>
      </c>
      <c r="E91" s="6">
        <f>4+1</f>
        <v>5</v>
      </c>
      <c r="F91" s="8">
        <f>2+1</f>
        <v>3</v>
      </c>
      <c r="G91" s="10">
        <f>2+1</f>
        <v>3</v>
      </c>
      <c r="H91" s="4">
        <f>3+2</f>
        <v>5</v>
      </c>
      <c r="I91" s="6">
        <f>6+0</f>
        <v>6</v>
      </c>
      <c r="J91" s="8">
        <f>5+0</f>
        <v>5</v>
      </c>
      <c r="K91" s="10">
        <f>20+3</f>
        <v>23</v>
      </c>
      <c r="L91" s="13">
        <f t="shared" si="5"/>
        <v>-23</v>
      </c>
    </row>
    <row r="92" spans="1:12" ht="30" customHeight="1" x14ac:dyDescent="0.25">
      <c r="A92" s="11" t="s">
        <v>24</v>
      </c>
      <c r="B92" s="11" t="s">
        <v>103</v>
      </c>
      <c r="C92" s="2" t="s">
        <v>149</v>
      </c>
      <c r="D92" s="4">
        <f>132+12</f>
        <v>144</v>
      </c>
      <c r="E92" s="6">
        <f t="shared" ref="E92:G94" si="9">0+0</f>
        <v>0</v>
      </c>
      <c r="F92" s="8">
        <f t="shared" si="9"/>
        <v>0</v>
      </c>
      <c r="G92" s="10">
        <f t="shared" si="9"/>
        <v>0</v>
      </c>
      <c r="H92" s="4">
        <f>116+35</f>
        <v>151</v>
      </c>
      <c r="I92" s="6">
        <f>0+0</f>
        <v>0</v>
      </c>
      <c r="J92" s="8">
        <f>0+0</f>
        <v>0</v>
      </c>
      <c r="K92" s="10">
        <f>0+0</f>
        <v>0</v>
      </c>
      <c r="L92" s="13">
        <f t="shared" si="5"/>
        <v>-7</v>
      </c>
    </row>
    <row r="93" spans="1:12" ht="30" customHeight="1" x14ac:dyDescent="0.25">
      <c r="A93" s="11" t="s">
        <v>24</v>
      </c>
      <c r="B93" s="11" t="s">
        <v>104</v>
      </c>
      <c r="C93" s="2" t="s">
        <v>149</v>
      </c>
      <c r="D93" s="4">
        <f>0+0</f>
        <v>0</v>
      </c>
      <c r="E93" s="6">
        <f t="shared" si="9"/>
        <v>0</v>
      </c>
      <c r="F93" s="8">
        <f t="shared" si="9"/>
        <v>0</v>
      </c>
      <c r="G93" s="10">
        <f t="shared" si="9"/>
        <v>0</v>
      </c>
      <c r="H93" s="4">
        <f>9+0</f>
        <v>9</v>
      </c>
      <c r="I93" s="6">
        <f>2+0</f>
        <v>2</v>
      </c>
      <c r="J93" s="8">
        <f>0+0</f>
        <v>0</v>
      </c>
      <c r="K93" s="10">
        <f>0+0</f>
        <v>0</v>
      </c>
      <c r="L93" s="13">
        <f t="shared" si="5"/>
        <v>-11</v>
      </c>
    </row>
    <row r="94" spans="1:12" ht="30" customHeight="1" x14ac:dyDescent="0.25">
      <c r="A94" s="11" t="s">
        <v>24</v>
      </c>
      <c r="B94" s="11" t="s">
        <v>105</v>
      </c>
      <c r="C94" s="2" t="s">
        <v>149</v>
      </c>
      <c r="D94" s="4">
        <f>12+3</f>
        <v>15</v>
      </c>
      <c r="E94" s="6">
        <f t="shared" si="9"/>
        <v>0</v>
      </c>
      <c r="F94" s="8">
        <f t="shared" si="9"/>
        <v>0</v>
      </c>
      <c r="G94" s="10">
        <f t="shared" si="9"/>
        <v>0</v>
      </c>
      <c r="H94" s="4">
        <f>4+0</f>
        <v>4</v>
      </c>
      <c r="I94" s="6">
        <f>9+0</f>
        <v>9</v>
      </c>
      <c r="J94" s="8">
        <f>5+3</f>
        <v>8</v>
      </c>
      <c r="K94" s="10">
        <f>25+3</f>
        <v>28</v>
      </c>
      <c r="L94" s="13">
        <f t="shared" si="5"/>
        <v>-34</v>
      </c>
    </row>
    <row r="95" spans="1:12" ht="30" customHeight="1" x14ac:dyDescent="0.25">
      <c r="A95" s="11" t="s">
        <v>24</v>
      </c>
      <c r="B95" s="11" t="s">
        <v>106</v>
      </c>
      <c r="C95" s="2" t="s">
        <v>149</v>
      </c>
      <c r="D95" s="4">
        <f>2+1</f>
        <v>3</v>
      </c>
      <c r="E95" s="6">
        <f>2+1</f>
        <v>3</v>
      </c>
      <c r="F95" s="8">
        <f>2+1</f>
        <v>3</v>
      </c>
      <c r="G95" s="10">
        <f>2+1</f>
        <v>3</v>
      </c>
      <c r="H95" s="4">
        <f>1+0</f>
        <v>1</v>
      </c>
      <c r="I95" s="6">
        <f>1+0</f>
        <v>1</v>
      </c>
      <c r="J95" s="8">
        <f>0+0</f>
        <v>0</v>
      </c>
      <c r="K95" s="10">
        <f>7+2</f>
        <v>9</v>
      </c>
      <c r="L95" s="15">
        <f t="shared" si="5"/>
        <v>1</v>
      </c>
    </row>
    <row r="96" spans="1:12" ht="30" customHeight="1" x14ac:dyDescent="0.25">
      <c r="A96" s="11" t="s">
        <v>24</v>
      </c>
      <c r="B96" s="11" t="s">
        <v>107</v>
      </c>
      <c r="C96" s="2" t="s">
        <v>149</v>
      </c>
      <c r="D96" s="4">
        <f>25+2</f>
        <v>27</v>
      </c>
      <c r="E96" s="6">
        <f>17+1</f>
        <v>18</v>
      </c>
      <c r="F96" s="8">
        <f>4+1</f>
        <v>5</v>
      </c>
      <c r="G96" s="10">
        <f>25+2</f>
        <v>27</v>
      </c>
      <c r="H96" s="4">
        <f>25+1</f>
        <v>26</v>
      </c>
      <c r="I96" s="6">
        <f>17+0</f>
        <v>17</v>
      </c>
      <c r="J96" s="8">
        <f>4+0</f>
        <v>4</v>
      </c>
      <c r="K96" s="10">
        <f>13+1</f>
        <v>14</v>
      </c>
      <c r="L96" s="15">
        <f t="shared" si="5"/>
        <v>16</v>
      </c>
    </row>
    <row r="97" spans="1:12" ht="30" customHeight="1" x14ac:dyDescent="0.25">
      <c r="A97" s="11" t="s">
        <v>24</v>
      </c>
      <c r="B97" s="11" t="s">
        <v>108</v>
      </c>
      <c r="C97" s="2" t="s">
        <v>149</v>
      </c>
      <c r="D97" s="4">
        <f>46+8</f>
        <v>54</v>
      </c>
      <c r="E97" s="6">
        <f>16+0</f>
        <v>16</v>
      </c>
      <c r="F97" s="8">
        <f>0+0</f>
        <v>0</v>
      </c>
      <c r="G97" s="10">
        <f>0+0</f>
        <v>0</v>
      </c>
      <c r="H97" s="4">
        <f>14+1</f>
        <v>15</v>
      </c>
      <c r="I97" s="6">
        <f>11+0</f>
        <v>11</v>
      </c>
      <c r="J97" s="8">
        <f>0+0</f>
        <v>0</v>
      </c>
      <c r="K97" s="10">
        <f>27+2</f>
        <v>29</v>
      </c>
      <c r="L97" s="15">
        <f t="shared" si="5"/>
        <v>15</v>
      </c>
    </row>
    <row r="98" spans="1:12" ht="30" customHeight="1" x14ac:dyDescent="0.25">
      <c r="A98" s="11" t="s">
        <v>24</v>
      </c>
      <c r="B98" s="11" t="s">
        <v>109</v>
      </c>
      <c r="C98" s="2" t="s">
        <v>149</v>
      </c>
      <c r="D98" s="4">
        <f>25+3</f>
        <v>28</v>
      </c>
      <c r="E98" s="6">
        <f>15+2</f>
        <v>17</v>
      </c>
      <c r="F98" s="8">
        <f>0+0</f>
        <v>0</v>
      </c>
      <c r="G98" s="10">
        <f t="shared" ref="G98:G99" si="10">0+0</f>
        <v>0</v>
      </c>
      <c r="H98" s="4">
        <f>25+1</f>
        <v>26</v>
      </c>
      <c r="I98" s="6">
        <f>9+1</f>
        <v>10</v>
      </c>
      <c r="J98" s="8">
        <f>0+0</f>
        <v>0</v>
      </c>
      <c r="K98" s="10">
        <f>63+6</f>
        <v>69</v>
      </c>
      <c r="L98" s="13">
        <f t="shared" si="5"/>
        <v>-60</v>
      </c>
    </row>
    <row r="99" spans="1:12" ht="30" customHeight="1" x14ac:dyDescent="0.25">
      <c r="A99" s="11" t="s">
        <v>24</v>
      </c>
      <c r="B99" s="11" t="s">
        <v>110</v>
      </c>
      <c r="C99" s="2" t="s">
        <v>149</v>
      </c>
      <c r="D99" s="4">
        <f>44+0</f>
        <v>44</v>
      </c>
      <c r="E99" s="6">
        <f>0+0</f>
        <v>0</v>
      </c>
      <c r="F99" s="8">
        <f>0+0</f>
        <v>0</v>
      </c>
      <c r="G99" s="10">
        <f t="shared" si="10"/>
        <v>0</v>
      </c>
      <c r="H99" s="4">
        <f>37+0</f>
        <v>37</v>
      </c>
      <c r="I99" s="6">
        <f>0+0</f>
        <v>0</v>
      </c>
      <c r="J99" s="8">
        <f>0+0</f>
        <v>0</v>
      </c>
      <c r="K99" s="10">
        <f>116+0</f>
        <v>116</v>
      </c>
      <c r="L99" s="13">
        <f t="shared" si="5"/>
        <v>-109</v>
      </c>
    </row>
    <row r="100" spans="1:12" ht="30" customHeight="1" x14ac:dyDescent="0.25">
      <c r="A100" s="11" t="s">
        <v>24</v>
      </c>
      <c r="B100" s="11" t="s">
        <v>33</v>
      </c>
      <c r="C100" s="2" t="s">
        <v>149</v>
      </c>
      <c r="D100" s="4">
        <f>5+0</f>
        <v>5</v>
      </c>
      <c r="E100" s="6">
        <f>5+0</f>
        <v>5</v>
      </c>
      <c r="F100" s="8">
        <f>5+0</f>
        <v>5</v>
      </c>
      <c r="G100" s="10">
        <f>5+0</f>
        <v>5</v>
      </c>
      <c r="H100" s="4">
        <f>6+0</f>
        <v>6</v>
      </c>
      <c r="I100" s="6">
        <f>0+0</f>
        <v>0</v>
      </c>
      <c r="J100" s="8">
        <f>1+0</f>
        <v>1</v>
      </c>
      <c r="K100" s="10">
        <f>4+0</f>
        <v>4</v>
      </c>
      <c r="L100" s="15">
        <f t="shared" si="5"/>
        <v>9</v>
      </c>
    </row>
    <row r="101" spans="1:12" ht="30" customHeight="1" x14ac:dyDescent="0.25">
      <c r="A101" s="11" t="s">
        <v>24</v>
      </c>
      <c r="B101" s="11" t="s">
        <v>111</v>
      </c>
      <c r="C101" s="2" t="s">
        <v>149</v>
      </c>
      <c r="D101" s="4">
        <f>34+6</f>
        <v>40</v>
      </c>
      <c r="E101" s="6">
        <f>0+0</f>
        <v>0</v>
      </c>
      <c r="F101" s="8">
        <f>0+0</f>
        <v>0</v>
      </c>
      <c r="G101" s="10">
        <f>0+0</f>
        <v>0</v>
      </c>
      <c r="H101" s="4">
        <f>36+1</f>
        <v>37</v>
      </c>
      <c r="I101" s="6">
        <f>42+4</f>
        <v>46</v>
      </c>
      <c r="J101" s="8">
        <f>18+3</f>
        <v>21</v>
      </c>
      <c r="K101" s="10">
        <f>115+8</f>
        <v>123</v>
      </c>
      <c r="L101" s="13">
        <f t="shared" si="5"/>
        <v>-187</v>
      </c>
    </row>
    <row r="102" spans="1:12" ht="30" customHeight="1" x14ac:dyDescent="0.25">
      <c r="A102" s="11" t="s">
        <v>24</v>
      </c>
      <c r="B102" s="11" t="s">
        <v>112</v>
      </c>
      <c r="C102" s="2" t="s">
        <v>149</v>
      </c>
      <c r="D102" s="4">
        <f>3+6</f>
        <v>9</v>
      </c>
      <c r="E102" s="6">
        <f>4+0</f>
        <v>4</v>
      </c>
      <c r="F102" s="8">
        <f t="shared" ref="F102:F108" si="11">0+0</f>
        <v>0</v>
      </c>
      <c r="G102" s="10">
        <f>1+0</f>
        <v>1</v>
      </c>
      <c r="H102" s="4">
        <f>3+0</f>
        <v>3</v>
      </c>
      <c r="I102" s="6">
        <f>4+0</f>
        <v>4</v>
      </c>
      <c r="J102" s="8">
        <f>0+0</f>
        <v>0</v>
      </c>
      <c r="K102" s="10">
        <f>1+0</f>
        <v>1</v>
      </c>
      <c r="L102" s="15">
        <f t="shared" si="5"/>
        <v>6</v>
      </c>
    </row>
    <row r="103" spans="1:12" ht="30" customHeight="1" x14ac:dyDescent="0.25">
      <c r="A103" s="11" t="s">
        <v>24</v>
      </c>
      <c r="B103" s="11" t="s">
        <v>113</v>
      </c>
      <c r="C103" s="2" t="s">
        <v>149</v>
      </c>
      <c r="D103" s="4">
        <f>18+6</f>
        <v>24</v>
      </c>
      <c r="E103" s="6">
        <f>0+0</f>
        <v>0</v>
      </c>
      <c r="F103" s="8">
        <f t="shared" si="11"/>
        <v>0</v>
      </c>
      <c r="G103" s="10">
        <f>0+0</f>
        <v>0</v>
      </c>
      <c r="H103" s="4">
        <f>9+0</f>
        <v>9</v>
      </c>
      <c r="I103" s="6">
        <f>6+0</f>
        <v>6</v>
      </c>
      <c r="J103" s="8">
        <f>2+1</f>
        <v>3</v>
      </c>
      <c r="K103" s="10">
        <f>17+1</f>
        <v>18</v>
      </c>
      <c r="L103" s="13">
        <f t="shared" si="5"/>
        <v>-12</v>
      </c>
    </row>
    <row r="104" spans="1:12" ht="30" customHeight="1" x14ac:dyDescent="0.25">
      <c r="A104" s="11" t="s">
        <v>24</v>
      </c>
      <c r="B104" s="11" t="s">
        <v>114</v>
      </c>
      <c r="C104" s="2" t="s">
        <v>149</v>
      </c>
      <c r="D104" s="4">
        <f>256+36</f>
        <v>292</v>
      </c>
      <c r="E104" s="6">
        <f t="shared" ref="E104:E106" si="12">0+0</f>
        <v>0</v>
      </c>
      <c r="F104" s="8">
        <f t="shared" si="11"/>
        <v>0</v>
      </c>
      <c r="G104" s="10">
        <f>0+0</f>
        <v>0</v>
      </c>
      <c r="H104" s="4">
        <f>119+7</f>
        <v>126</v>
      </c>
      <c r="I104" s="6">
        <f>0+0</f>
        <v>0</v>
      </c>
      <c r="J104" s="8">
        <f>0+0</f>
        <v>0</v>
      </c>
      <c r="K104" s="10">
        <f>354+25</f>
        <v>379</v>
      </c>
      <c r="L104" s="13">
        <f t="shared" si="5"/>
        <v>-213</v>
      </c>
    </row>
    <row r="105" spans="1:12" ht="30" customHeight="1" x14ac:dyDescent="0.25">
      <c r="A105" s="11" t="s">
        <v>24</v>
      </c>
      <c r="B105" s="11" t="s">
        <v>115</v>
      </c>
      <c r="C105" s="2" t="s">
        <v>149</v>
      </c>
      <c r="D105" s="4">
        <f>106+7</f>
        <v>113</v>
      </c>
      <c r="E105" s="6">
        <f t="shared" si="12"/>
        <v>0</v>
      </c>
      <c r="F105" s="8">
        <f t="shared" si="11"/>
        <v>0</v>
      </c>
      <c r="G105" s="10">
        <f>0+0</f>
        <v>0</v>
      </c>
      <c r="H105" s="4">
        <f>50+2</f>
        <v>52</v>
      </c>
      <c r="I105" s="6">
        <f>0+0</f>
        <v>0</v>
      </c>
      <c r="J105" s="8">
        <f t="shared" ref="J105:J108" si="13">0+0</f>
        <v>0</v>
      </c>
      <c r="K105" s="10">
        <f>96+7</f>
        <v>103</v>
      </c>
      <c r="L105" s="13">
        <f t="shared" si="5"/>
        <v>-42</v>
      </c>
    </row>
    <row r="106" spans="1:12" ht="30" customHeight="1" x14ac:dyDescent="0.25">
      <c r="A106" s="11" t="s">
        <v>24</v>
      </c>
      <c r="B106" s="11" t="s">
        <v>116</v>
      </c>
      <c r="C106" s="2" t="s">
        <v>149</v>
      </c>
      <c r="D106" s="4">
        <f>30+0</f>
        <v>30</v>
      </c>
      <c r="E106" s="6">
        <f t="shared" si="12"/>
        <v>0</v>
      </c>
      <c r="F106" s="8">
        <f t="shared" si="11"/>
        <v>0</v>
      </c>
      <c r="G106" s="10">
        <f>30+0</f>
        <v>30</v>
      </c>
      <c r="H106" s="4">
        <f>42+0</f>
        <v>42</v>
      </c>
      <c r="I106" s="6">
        <f>0+0</f>
        <v>0</v>
      </c>
      <c r="J106" s="8">
        <f t="shared" si="13"/>
        <v>0</v>
      </c>
      <c r="K106" s="10">
        <f>37+3</f>
        <v>40</v>
      </c>
      <c r="L106" s="13">
        <f t="shared" si="5"/>
        <v>-22</v>
      </c>
    </row>
    <row r="107" spans="1:12" ht="30" customHeight="1" x14ac:dyDescent="0.25">
      <c r="A107" s="11" t="s">
        <v>24</v>
      </c>
      <c r="B107" s="11" t="s">
        <v>117</v>
      </c>
      <c r="C107" s="2" t="s">
        <v>149</v>
      </c>
      <c r="D107" s="4">
        <f>0+0</f>
        <v>0</v>
      </c>
      <c r="E107" s="6">
        <f>60+10</f>
        <v>70</v>
      </c>
      <c r="F107" s="8">
        <f t="shared" si="11"/>
        <v>0</v>
      </c>
      <c r="G107" s="10">
        <f>0+0</f>
        <v>0</v>
      </c>
      <c r="H107" s="4">
        <f>0+0</f>
        <v>0</v>
      </c>
      <c r="I107" s="6">
        <f>58+0</f>
        <v>58</v>
      </c>
      <c r="J107" s="8">
        <f t="shared" si="13"/>
        <v>0</v>
      </c>
      <c r="K107" s="10">
        <f>0+0</f>
        <v>0</v>
      </c>
      <c r="L107" s="15">
        <f t="shared" si="5"/>
        <v>12</v>
      </c>
    </row>
    <row r="108" spans="1:12" ht="30" customHeight="1" x14ac:dyDescent="0.25">
      <c r="A108" s="11" t="s">
        <v>24</v>
      </c>
      <c r="B108" s="11" t="s">
        <v>118</v>
      </c>
      <c r="C108" s="2" t="s">
        <v>149</v>
      </c>
      <c r="D108" s="4">
        <f>35+5</f>
        <v>40</v>
      </c>
      <c r="E108" s="6">
        <f>0+0</f>
        <v>0</v>
      </c>
      <c r="F108" s="8">
        <f t="shared" si="11"/>
        <v>0</v>
      </c>
      <c r="G108" s="10">
        <f>0+0</f>
        <v>0</v>
      </c>
      <c r="H108" s="4">
        <f>6+0</f>
        <v>6</v>
      </c>
      <c r="I108" s="6">
        <f>2+0</f>
        <v>2</v>
      </c>
      <c r="J108" s="8">
        <f t="shared" si="13"/>
        <v>0</v>
      </c>
      <c r="K108" s="10">
        <f>8+0</f>
        <v>8</v>
      </c>
      <c r="L108" s="15">
        <f t="shared" si="5"/>
        <v>24</v>
      </c>
    </row>
    <row r="109" spans="1:12" ht="30" customHeight="1" x14ac:dyDescent="0.25">
      <c r="A109" s="11" t="s">
        <v>24</v>
      </c>
      <c r="B109" s="11" t="s">
        <v>119</v>
      </c>
      <c r="C109" s="2" t="s">
        <v>149</v>
      </c>
      <c r="D109" s="4">
        <f>20+6</f>
        <v>26</v>
      </c>
      <c r="E109" s="6">
        <f>8+0</f>
        <v>8</v>
      </c>
      <c r="F109" s="8">
        <f>2+0</f>
        <v>2</v>
      </c>
      <c r="G109" s="10">
        <f>10+0</f>
        <v>10</v>
      </c>
      <c r="H109" s="4">
        <f>15+3</f>
        <v>18</v>
      </c>
      <c r="I109" s="6">
        <f>15+1</f>
        <v>16</v>
      </c>
      <c r="J109" s="8">
        <f>3+0</f>
        <v>3</v>
      </c>
      <c r="K109" s="10">
        <f>18+3</f>
        <v>21</v>
      </c>
      <c r="L109" s="13">
        <f t="shared" si="5"/>
        <v>-12</v>
      </c>
    </row>
    <row r="110" spans="1:12" ht="30" customHeight="1" x14ac:dyDescent="0.25">
      <c r="A110" s="11" t="s">
        <v>24</v>
      </c>
      <c r="B110" s="11" t="s">
        <v>120</v>
      </c>
      <c r="C110" s="2" t="s">
        <v>149</v>
      </c>
      <c r="D110" s="4">
        <f>14+2</f>
        <v>16</v>
      </c>
      <c r="E110" s="6">
        <f>6+2</f>
        <v>8</v>
      </c>
      <c r="F110" s="8">
        <f>2+0</f>
        <v>2</v>
      </c>
      <c r="G110" s="10">
        <f>14+2</f>
        <v>16</v>
      </c>
      <c r="H110" s="4">
        <f>20+0</f>
        <v>20</v>
      </c>
      <c r="I110" s="6">
        <f>18+1</f>
        <v>19</v>
      </c>
      <c r="J110" s="8">
        <f>7+0</f>
        <v>7</v>
      </c>
      <c r="K110" s="10">
        <f>28+1</f>
        <v>29</v>
      </c>
      <c r="L110" s="13">
        <f t="shared" si="5"/>
        <v>-33</v>
      </c>
    </row>
    <row r="111" spans="1:12" ht="30" customHeight="1" x14ac:dyDescent="0.25">
      <c r="A111" s="11" t="s">
        <v>24</v>
      </c>
      <c r="B111" s="11" t="s">
        <v>121</v>
      </c>
      <c r="C111" s="2" t="s">
        <v>149</v>
      </c>
      <c r="D111" s="4">
        <f>0+0</f>
        <v>0</v>
      </c>
      <c r="E111" s="6">
        <f>0+0</f>
        <v>0</v>
      </c>
      <c r="F111" s="8">
        <f>187+28</f>
        <v>215</v>
      </c>
      <c r="G111" s="10">
        <f>0+0</f>
        <v>0</v>
      </c>
      <c r="H111" s="4">
        <f>0+0</f>
        <v>0</v>
      </c>
      <c r="I111" s="6">
        <f>0+0</f>
        <v>0</v>
      </c>
      <c r="J111" s="8">
        <f>210+31</f>
        <v>241</v>
      </c>
      <c r="K111" s="10">
        <f>0+0</f>
        <v>0</v>
      </c>
      <c r="L111" s="13">
        <f t="shared" si="5"/>
        <v>-26</v>
      </c>
    </row>
    <row r="112" spans="1:12" ht="30" customHeight="1" x14ac:dyDescent="0.25">
      <c r="A112" s="11" t="s">
        <v>24</v>
      </c>
      <c r="B112" s="11" t="s">
        <v>122</v>
      </c>
      <c r="C112" s="2" t="s">
        <v>149</v>
      </c>
      <c r="D112" s="4">
        <f>4+0</f>
        <v>4</v>
      </c>
      <c r="E112" s="6">
        <f>0+0</f>
        <v>0</v>
      </c>
      <c r="F112" s="8">
        <f>0+0</f>
        <v>0</v>
      </c>
      <c r="G112" s="10">
        <f>3+0</f>
        <v>3</v>
      </c>
      <c r="H112" s="4">
        <f>4+0</f>
        <v>4</v>
      </c>
      <c r="I112" s="6">
        <f>0+0</f>
        <v>0</v>
      </c>
      <c r="J112" s="8">
        <f>0+0</f>
        <v>0</v>
      </c>
      <c r="K112" s="10">
        <f>3+0</f>
        <v>3</v>
      </c>
      <c r="L112" s="15">
        <f t="shared" si="5"/>
        <v>0</v>
      </c>
    </row>
    <row r="113" spans="1:12" ht="30" customHeight="1" x14ac:dyDescent="0.25">
      <c r="A113" s="11" t="s">
        <v>24</v>
      </c>
      <c r="B113" s="11" t="s">
        <v>123</v>
      </c>
      <c r="C113" s="2" t="s">
        <v>149</v>
      </c>
      <c r="D113" s="4">
        <f>42+0</f>
        <v>42</v>
      </c>
      <c r="E113" s="6">
        <f>20+0</f>
        <v>20</v>
      </c>
      <c r="F113" s="8">
        <f>0+0</f>
        <v>0</v>
      </c>
      <c r="G113" s="10">
        <f>89+6</f>
        <v>95</v>
      </c>
      <c r="H113" s="4">
        <f>81+0</f>
        <v>81</v>
      </c>
      <c r="I113" s="6">
        <f>23+0</f>
        <v>23</v>
      </c>
      <c r="J113" s="8">
        <f>14+0</f>
        <v>14</v>
      </c>
      <c r="K113" s="10">
        <f>47+10</f>
        <v>57</v>
      </c>
      <c r="L113" s="13">
        <f t="shared" si="5"/>
        <v>-18</v>
      </c>
    </row>
    <row r="114" spans="1:12" ht="30" customHeight="1" x14ac:dyDescent="0.25">
      <c r="A114" s="11" t="s">
        <v>24</v>
      </c>
      <c r="B114" s="11" t="s">
        <v>124</v>
      </c>
      <c r="C114" s="2" t="s">
        <v>149</v>
      </c>
      <c r="D114" s="4">
        <f>36+3</f>
        <v>39</v>
      </c>
      <c r="E114" s="6">
        <f>30+1</f>
        <v>31</v>
      </c>
      <c r="F114" s="8">
        <f>0+0</f>
        <v>0</v>
      </c>
      <c r="G114" s="10">
        <f>33+3</f>
        <v>36</v>
      </c>
      <c r="H114" s="4">
        <f>20+1</f>
        <v>21</v>
      </c>
      <c r="I114" s="6">
        <f>16+1</f>
        <v>17</v>
      </c>
      <c r="J114" s="8">
        <f>0+0</f>
        <v>0</v>
      </c>
      <c r="K114" s="10">
        <f>65+6</f>
        <v>71</v>
      </c>
      <c r="L114" s="13">
        <f t="shared" si="5"/>
        <v>-3</v>
      </c>
    </row>
    <row r="115" spans="1:12" ht="30" customHeight="1" x14ac:dyDescent="0.25">
      <c r="A115" s="11" t="s">
        <v>24</v>
      </c>
      <c r="B115" s="11" t="s">
        <v>125</v>
      </c>
      <c r="C115" s="2" t="s">
        <v>149</v>
      </c>
      <c r="D115" s="4">
        <f>14+1</f>
        <v>15</v>
      </c>
      <c r="E115" s="6">
        <f>6+0</f>
        <v>6</v>
      </c>
      <c r="F115" s="8">
        <f>4+0</f>
        <v>4</v>
      </c>
      <c r="G115" s="10">
        <f>14+0</f>
        <v>14</v>
      </c>
      <c r="H115" s="4">
        <f>3+0</f>
        <v>3</v>
      </c>
      <c r="I115" s="6">
        <f>4+0</f>
        <v>4</v>
      </c>
      <c r="J115" s="8">
        <f>1+0</f>
        <v>1</v>
      </c>
      <c r="K115" s="10">
        <f>10+1</f>
        <v>11</v>
      </c>
      <c r="L115" s="15">
        <f t="shared" si="5"/>
        <v>20</v>
      </c>
    </row>
    <row r="116" spans="1:12" ht="30" customHeight="1" x14ac:dyDescent="0.25">
      <c r="A116" s="11" t="s">
        <v>24</v>
      </c>
      <c r="B116" s="11" t="s">
        <v>126</v>
      </c>
      <c r="C116" s="2" t="s">
        <v>149</v>
      </c>
      <c r="D116" s="4">
        <f>16+2</f>
        <v>18</v>
      </c>
      <c r="E116" s="6">
        <f>12+2</f>
        <v>14</v>
      </c>
      <c r="F116" s="8">
        <f>4+2</f>
        <v>6</v>
      </c>
      <c r="G116" s="10">
        <f>18+2</f>
        <v>20</v>
      </c>
      <c r="H116" s="4">
        <f>15+5</f>
        <v>20</v>
      </c>
      <c r="I116" s="6">
        <f>9+2</f>
        <v>11</v>
      </c>
      <c r="J116" s="8">
        <f>11+0</f>
        <v>11</v>
      </c>
      <c r="K116" s="10">
        <f>20+2</f>
        <v>22</v>
      </c>
      <c r="L116" s="13">
        <f t="shared" si="5"/>
        <v>-6</v>
      </c>
    </row>
    <row r="117" spans="1:12" ht="30" customHeight="1" x14ac:dyDescent="0.25">
      <c r="A117" s="11" t="s">
        <v>24</v>
      </c>
      <c r="B117" s="11" t="s">
        <v>127</v>
      </c>
      <c r="C117" s="2" t="s">
        <v>149</v>
      </c>
      <c r="D117" s="4">
        <f>0+0</f>
        <v>0</v>
      </c>
      <c r="E117" s="6">
        <f>6+3</f>
        <v>9</v>
      </c>
      <c r="F117" s="8">
        <f>0+0</f>
        <v>0</v>
      </c>
      <c r="G117" s="10">
        <f>0+0</f>
        <v>0</v>
      </c>
      <c r="H117" s="4">
        <f>0+0</f>
        <v>0</v>
      </c>
      <c r="I117" s="6">
        <f>5+0</f>
        <v>5</v>
      </c>
      <c r="J117" s="8">
        <f>7+0</f>
        <v>7</v>
      </c>
      <c r="K117" s="10">
        <f>0+0</f>
        <v>0</v>
      </c>
      <c r="L117" s="13">
        <f t="shared" si="5"/>
        <v>-3</v>
      </c>
    </row>
    <row r="118" spans="1:12" ht="30" customHeight="1" x14ac:dyDescent="0.25">
      <c r="A118" s="11" t="s">
        <v>24</v>
      </c>
      <c r="B118" s="11" t="s">
        <v>31</v>
      </c>
      <c r="C118" s="2" t="s">
        <v>149</v>
      </c>
      <c r="D118" s="4">
        <f>0+0</f>
        <v>0</v>
      </c>
      <c r="E118" s="6">
        <f>0+0</f>
        <v>0</v>
      </c>
      <c r="F118" s="8">
        <f>0+0</f>
        <v>0</v>
      </c>
      <c r="G118" s="10">
        <f>622+66</f>
        <v>688</v>
      </c>
      <c r="H118" s="4">
        <f>0+0</f>
        <v>0</v>
      </c>
      <c r="I118" s="6">
        <f>0+0</f>
        <v>0</v>
      </c>
      <c r="J118" s="8">
        <f>0+0</f>
        <v>0</v>
      </c>
      <c r="K118" s="10">
        <f>1764+119</f>
        <v>1883</v>
      </c>
      <c r="L118" s="13">
        <f t="shared" si="5"/>
        <v>-1195</v>
      </c>
    </row>
    <row r="119" spans="1:12" ht="30" customHeight="1" x14ac:dyDescent="0.25">
      <c r="A119" s="11" t="s">
        <v>24</v>
      </c>
      <c r="B119" s="11" t="s">
        <v>128</v>
      </c>
      <c r="C119" s="2" t="s">
        <v>149</v>
      </c>
      <c r="D119" s="4">
        <f>33+4</f>
        <v>37</v>
      </c>
      <c r="E119" s="6">
        <f>12+0</f>
        <v>12</v>
      </c>
      <c r="F119" s="8">
        <f>12+0</f>
        <v>12</v>
      </c>
      <c r="G119" s="10">
        <f>34+4</f>
        <v>38</v>
      </c>
      <c r="H119" s="4">
        <f>35+1</f>
        <v>36</v>
      </c>
      <c r="I119" s="6">
        <f>22+0</f>
        <v>22</v>
      </c>
      <c r="J119" s="8">
        <f>8+0</f>
        <v>8</v>
      </c>
      <c r="K119" s="10">
        <f>34+3</f>
        <v>37</v>
      </c>
      <c r="L119" s="13">
        <f t="shared" si="5"/>
        <v>-4</v>
      </c>
    </row>
    <row r="120" spans="1:12" ht="30" customHeight="1" x14ac:dyDescent="0.25">
      <c r="A120" s="11" t="s">
        <v>24</v>
      </c>
      <c r="B120" s="11" t="s">
        <v>129</v>
      </c>
      <c r="C120" s="2" t="s">
        <v>149</v>
      </c>
      <c r="D120" s="4">
        <f>35+1</f>
        <v>36</v>
      </c>
      <c r="E120" s="6">
        <f>9+2</f>
        <v>11</v>
      </c>
      <c r="F120" s="8">
        <f>5+0</f>
        <v>5</v>
      </c>
      <c r="G120" s="10">
        <f>39+0</f>
        <v>39</v>
      </c>
      <c r="H120" s="4">
        <f>35+1</f>
        <v>36</v>
      </c>
      <c r="I120" s="6">
        <f>9+2</f>
        <v>11</v>
      </c>
      <c r="J120" s="8">
        <f>5+0</f>
        <v>5</v>
      </c>
      <c r="K120" s="10">
        <f>39+0</f>
        <v>39</v>
      </c>
      <c r="L120" s="15">
        <f t="shared" si="5"/>
        <v>0</v>
      </c>
    </row>
    <row r="121" spans="1:12" ht="30" customHeight="1" x14ac:dyDescent="0.25">
      <c r="A121" s="11" t="s">
        <v>24</v>
      </c>
      <c r="B121" s="11" t="s">
        <v>130</v>
      </c>
      <c r="C121" s="2" t="s">
        <v>149</v>
      </c>
      <c r="D121" s="4">
        <f>52+14</f>
        <v>66</v>
      </c>
      <c r="E121" s="6">
        <f>16+4</f>
        <v>20</v>
      </c>
      <c r="F121" s="8">
        <f>0+0</f>
        <v>0</v>
      </c>
      <c r="G121" s="10">
        <f>12+0</f>
        <v>12</v>
      </c>
      <c r="H121" s="4">
        <f>30+2</f>
        <v>32</v>
      </c>
      <c r="I121" s="6">
        <f>14+3</f>
        <v>17</v>
      </c>
      <c r="J121" s="8">
        <f>16+2</f>
        <v>18</v>
      </c>
      <c r="K121" s="10">
        <f>33+9</f>
        <v>42</v>
      </c>
      <c r="L121" s="13">
        <f t="shared" si="5"/>
        <v>-11</v>
      </c>
    </row>
    <row r="122" spans="1:12" ht="30" customHeight="1" x14ac:dyDescent="0.25">
      <c r="A122" s="11" t="s">
        <v>24</v>
      </c>
      <c r="B122" s="11" t="s">
        <v>131</v>
      </c>
      <c r="C122" s="2" t="s">
        <v>149</v>
      </c>
      <c r="D122" s="4">
        <f>21+1</f>
        <v>22</v>
      </c>
      <c r="E122" s="6">
        <f>12+0</f>
        <v>12</v>
      </c>
      <c r="F122" s="8">
        <f t="shared" ref="F122:F125" si="14">0+0</f>
        <v>0</v>
      </c>
      <c r="G122" s="10">
        <f>19+0</f>
        <v>19</v>
      </c>
      <c r="H122" s="4">
        <f>21+0</f>
        <v>21</v>
      </c>
      <c r="I122" s="6">
        <f>11+0</f>
        <v>11</v>
      </c>
      <c r="J122" s="8">
        <f>0+0</f>
        <v>0</v>
      </c>
      <c r="K122" s="10">
        <f>17+2</f>
        <v>19</v>
      </c>
      <c r="L122" s="15">
        <f t="shared" si="5"/>
        <v>2</v>
      </c>
    </row>
    <row r="123" spans="1:12" ht="30" customHeight="1" x14ac:dyDescent="0.25">
      <c r="A123" s="11" t="s">
        <v>24</v>
      </c>
      <c r="B123" s="11" t="s">
        <v>132</v>
      </c>
      <c r="C123" s="2" t="s">
        <v>149</v>
      </c>
      <c r="D123" s="4">
        <f>20+0</f>
        <v>20</v>
      </c>
      <c r="E123" s="6">
        <f>16+0</f>
        <v>16</v>
      </c>
      <c r="F123" s="8">
        <f t="shared" si="14"/>
        <v>0</v>
      </c>
      <c r="G123" s="10">
        <f>31+7</f>
        <v>38</v>
      </c>
      <c r="H123" s="4">
        <f>37+1</f>
        <v>38</v>
      </c>
      <c r="I123" s="6">
        <f>15+2</f>
        <v>17</v>
      </c>
      <c r="J123" s="8">
        <f>5+0</f>
        <v>5</v>
      </c>
      <c r="K123" s="10">
        <f>47+5</f>
        <v>52</v>
      </c>
      <c r="L123" s="13">
        <f t="shared" si="5"/>
        <v>-38</v>
      </c>
    </row>
    <row r="124" spans="1:12" ht="30" customHeight="1" x14ac:dyDescent="0.25">
      <c r="A124" s="11" t="s">
        <v>24</v>
      </c>
      <c r="B124" s="11" t="s">
        <v>133</v>
      </c>
      <c r="C124" s="2" t="s">
        <v>149</v>
      </c>
      <c r="D124" s="4">
        <f>20+4</f>
        <v>24</v>
      </c>
      <c r="E124" s="6">
        <f>0+0</f>
        <v>0</v>
      </c>
      <c r="F124" s="8">
        <f t="shared" si="14"/>
        <v>0</v>
      </c>
      <c r="G124" s="10">
        <f>0+0</f>
        <v>0</v>
      </c>
      <c r="H124" s="4">
        <f>10+0</f>
        <v>10</v>
      </c>
      <c r="I124" s="6">
        <f>0+0</f>
        <v>0</v>
      </c>
      <c r="J124" s="8">
        <f>0+0</f>
        <v>0</v>
      </c>
      <c r="K124" s="10">
        <f>16+0</f>
        <v>16</v>
      </c>
      <c r="L124" s="13">
        <f t="shared" si="5"/>
        <v>-2</v>
      </c>
    </row>
    <row r="125" spans="1:12" ht="30" customHeight="1" x14ac:dyDescent="0.25">
      <c r="A125" s="11" t="s">
        <v>24</v>
      </c>
      <c r="B125" s="11" t="s">
        <v>134</v>
      </c>
      <c r="C125" s="2" t="s">
        <v>149</v>
      </c>
      <c r="D125" s="4">
        <f>6+0</f>
        <v>6</v>
      </c>
      <c r="E125" s="6">
        <f>0+0</f>
        <v>0</v>
      </c>
      <c r="F125" s="8">
        <f t="shared" si="14"/>
        <v>0</v>
      </c>
      <c r="G125" s="10">
        <f>0+0</f>
        <v>0</v>
      </c>
      <c r="H125" s="4">
        <f>9+0</f>
        <v>9</v>
      </c>
      <c r="I125" s="6">
        <f>3+0</f>
        <v>3</v>
      </c>
      <c r="J125" s="8">
        <f>0+0</f>
        <v>0</v>
      </c>
      <c r="K125" s="10">
        <f>6+0</f>
        <v>6</v>
      </c>
      <c r="L125" s="13">
        <f t="shared" si="5"/>
        <v>-12</v>
      </c>
    </row>
    <row r="126" spans="1:12" ht="30" customHeight="1" x14ac:dyDescent="0.25">
      <c r="A126" s="11" t="s">
        <v>24</v>
      </c>
      <c r="B126" s="11" t="s">
        <v>135</v>
      </c>
      <c r="C126" s="2" t="s">
        <v>149</v>
      </c>
      <c r="D126" s="4">
        <f>14+1</f>
        <v>15</v>
      </c>
      <c r="E126" s="6">
        <f>9+1</f>
        <v>10</v>
      </c>
      <c r="F126" s="8">
        <f>6+1</f>
        <v>7</v>
      </c>
      <c r="G126" s="10">
        <f>8+1</f>
        <v>9</v>
      </c>
      <c r="H126" s="4">
        <f>12+1</f>
        <v>13</v>
      </c>
      <c r="I126" s="6">
        <f>6+0</f>
        <v>6</v>
      </c>
      <c r="J126" s="8">
        <f>4+0</f>
        <v>4</v>
      </c>
      <c r="K126" s="10">
        <f>10+0</f>
        <v>10</v>
      </c>
      <c r="L126" s="15">
        <f t="shared" si="5"/>
        <v>8</v>
      </c>
    </row>
    <row r="127" spans="1:12" ht="30" customHeight="1" x14ac:dyDescent="0.25">
      <c r="A127" s="11" t="s">
        <v>24</v>
      </c>
      <c r="B127" s="11" t="s">
        <v>61</v>
      </c>
      <c r="C127" s="2" t="s">
        <v>149</v>
      </c>
      <c r="D127" s="4">
        <f>39+0</f>
        <v>39</v>
      </c>
      <c r="E127" s="6">
        <f>0+0</f>
        <v>0</v>
      </c>
      <c r="F127" s="8">
        <f>0+0</f>
        <v>0</v>
      </c>
      <c r="G127" s="10">
        <f>51+2</f>
        <v>53</v>
      </c>
      <c r="H127" s="4">
        <f>39+0</f>
        <v>39</v>
      </c>
      <c r="I127" s="6">
        <f>0+0</f>
        <v>0</v>
      </c>
      <c r="J127" s="8">
        <f>0+0</f>
        <v>0</v>
      </c>
      <c r="K127" s="10">
        <f>51+2</f>
        <v>53</v>
      </c>
      <c r="L127" s="15">
        <f t="shared" si="5"/>
        <v>0</v>
      </c>
    </row>
    <row r="128" spans="1:12" ht="30" customHeight="1" x14ac:dyDescent="0.25">
      <c r="A128" s="11" t="s">
        <v>24</v>
      </c>
      <c r="B128" s="11" t="s">
        <v>136</v>
      </c>
      <c r="C128" s="2" t="s">
        <v>149</v>
      </c>
      <c r="D128" s="4">
        <f>108+12</f>
        <v>120</v>
      </c>
      <c r="E128" s="6">
        <f>0+0</f>
        <v>0</v>
      </c>
      <c r="F128" s="8">
        <f>0+0</f>
        <v>0</v>
      </c>
      <c r="G128" s="10">
        <f>0+0</f>
        <v>0</v>
      </c>
      <c r="H128" s="4">
        <f>98+2</f>
        <v>100</v>
      </c>
      <c r="I128" s="6">
        <f>0+0</f>
        <v>0</v>
      </c>
      <c r="J128" s="8">
        <f>0+0</f>
        <v>0</v>
      </c>
      <c r="K128" s="10">
        <f>128+11</f>
        <v>139</v>
      </c>
      <c r="L128" s="13">
        <f t="shared" si="5"/>
        <v>-119</v>
      </c>
    </row>
    <row r="129" spans="1:12" ht="30" customHeight="1" x14ac:dyDescent="0.25">
      <c r="A129" s="11" t="s">
        <v>24</v>
      </c>
      <c r="B129" s="11" t="s">
        <v>137</v>
      </c>
      <c r="C129" s="2" t="s">
        <v>149</v>
      </c>
      <c r="D129" s="4">
        <f>5+0</f>
        <v>5</v>
      </c>
      <c r="E129" s="6">
        <f>5+0</f>
        <v>5</v>
      </c>
      <c r="F129" s="8">
        <f>5+0</f>
        <v>5</v>
      </c>
      <c r="G129" s="10">
        <f>6+0</f>
        <v>6</v>
      </c>
      <c r="H129" s="4">
        <f>7+0</f>
        <v>7</v>
      </c>
      <c r="I129" s="6">
        <f>5+0</f>
        <v>5</v>
      </c>
      <c r="J129" s="8">
        <f>4+0</f>
        <v>4</v>
      </c>
      <c r="K129" s="10">
        <f>0+0</f>
        <v>0</v>
      </c>
      <c r="L129" s="15">
        <f t="shared" si="5"/>
        <v>5</v>
      </c>
    </row>
    <row r="130" spans="1:12" ht="30" customHeight="1" x14ac:dyDescent="0.25">
      <c r="A130" s="11" t="s">
        <v>24</v>
      </c>
      <c r="B130" s="11" t="s">
        <v>138</v>
      </c>
      <c r="C130" s="2" t="s">
        <v>149</v>
      </c>
      <c r="D130" s="4">
        <f>20+0</f>
        <v>20</v>
      </c>
      <c r="E130" s="6">
        <f>0+0</f>
        <v>0</v>
      </c>
      <c r="F130" s="8">
        <f>0+0</f>
        <v>0</v>
      </c>
      <c r="G130" s="10">
        <f>0+0</f>
        <v>0</v>
      </c>
      <c r="H130" s="4">
        <f>4+0</f>
        <v>4</v>
      </c>
      <c r="I130" s="6">
        <f>3+0</f>
        <v>3</v>
      </c>
      <c r="J130" s="8">
        <f>0+0</f>
        <v>0</v>
      </c>
      <c r="K130" s="10">
        <f>6+0</f>
        <v>6</v>
      </c>
      <c r="L130" s="15">
        <f t="shared" si="5"/>
        <v>7</v>
      </c>
    </row>
    <row r="131" spans="1:12" ht="30" customHeight="1" x14ac:dyDescent="0.25">
      <c r="A131" s="11" t="s">
        <v>24</v>
      </c>
      <c r="B131" s="11" t="s">
        <v>139</v>
      </c>
      <c r="C131" s="2" t="s">
        <v>149</v>
      </c>
      <c r="D131" s="4">
        <f>24+4</f>
        <v>28</v>
      </c>
      <c r="E131" s="6">
        <f>6+0</f>
        <v>6</v>
      </c>
      <c r="F131" s="8">
        <f>4+0</f>
        <v>4</v>
      </c>
      <c r="G131" s="10">
        <f t="shared" ref="G131:G136" si="15">0+0</f>
        <v>0</v>
      </c>
      <c r="H131" s="4">
        <f>10+0</f>
        <v>10</v>
      </c>
      <c r="I131" s="6">
        <f>4+0</f>
        <v>4</v>
      </c>
      <c r="J131" s="8">
        <f>7+0</f>
        <v>7</v>
      </c>
      <c r="K131" s="10">
        <f>7+1</f>
        <v>8</v>
      </c>
      <c r="L131" s="15">
        <f t="shared" si="5"/>
        <v>9</v>
      </c>
    </row>
    <row r="132" spans="1:12" ht="30" customHeight="1" x14ac:dyDescent="0.25">
      <c r="A132" s="11" t="s">
        <v>24</v>
      </c>
      <c r="B132" s="11" t="s">
        <v>140</v>
      </c>
      <c r="C132" s="2" t="s">
        <v>149</v>
      </c>
      <c r="D132" s="4">
        <f>0+0</f>
        <v>0</v>
      </c>
      <c r="E132" s="6">
        <f>15+5</f>
        <v>20</v>
      </c>
      <c r="F132" s="8">
        <f>0+0</f>
        <v>0</v>
      </c>
      <c r="G132" s="10">
        <f t="shared" si="15"/>
        <v>0</v>
      </c>
      <c r="H132" s="4">
        <f>0+0</f>
        <v>0</v>
      </c>
      <c r="I132" s="6">
        <f>8+0</f>
        <v>8</v>
      </c>
      <c r="J132" s="8">
        <f>0+0</f>
        <v>0</v>
      </c>
      <c r="K132" s="10">
        <f>0+0</f>
        <v>0</v>
      </c>
      <c r="L132" s="15">
        <f t="shared" si="5"/>
        <v>12</v>
      </c>
    </row>
    <row r="133" spans="1:12" ht="30" customHeight="1" x14ac:dyDescent="0.25">
      <c r="A133" s="11" t="s">
        <v>24</v>
      </c>
      <c r="B133" s="11" t="s">
        <v>141</v>
      </c>
      <c r="C133" s="2" t="s">
        <v>149</v>
      </c>
      <c r="D133" s="4">
        <f>0+0</f>
        <v>0</v>
      </c>
      <c r="E133" s="6">
        <f>0+0</f>
        <v>0</v>
      </c>
      <c r="F133" s="8">
        <f t="shared" ref="F133:F136" si="16">0+0</f>
        <v>0</v>
      </c>
      <c r="G133" s="10">
        <f t="shared" si="15"/>
        <v>0</v>
      </c>
      <c r="H133" s="4">
        <f>56+0</f>
        <v>56</v>
      </c>
      <c r="I133" s="6">
        <f>10+2</f>
        <v>12</v>
      </c>
      <c r="J133" s="8">
        <f>5+0</f>
        <v>5</v>
      </c>
      <c r="K133" s="10">
        <f>0+0</f>
        <v>0</v>
      </c>
      <c r="L133" s="13">
        <f t="shared" si="5"/>
        <v>-73</v>
      </c>
    </row>
    <row r="134" spans="1:12" ht="30" customHeight="1" x14ac:dyDescent="0.25">
      <c r="A134" s="11" t="s">
        <v>24</v>
      </c>
      <c r="B134" s="11" t="s">
        <v>142</v>
      </c>
      <c r="C134" s="2" t="s">
        <v>149</v>
      </c>
      <c r="D134" s="4">
        <f>126+14</f>
        <v>140</v>
      </c>
      <c r="E134" s="6">
        <f>70+10</f>
        <v>80</v>
      </c>
      <c r="F134" s="8">
        <f t="shared" si="16"/>
        <v>0</v>
      </c>
      <c r="G134" s="10">
        <f t="shared" si="15"/>
        <v>0</v>
      </c>
      <c r="H134" s="4">
        <f>113+2</f>
        <v>115</v>
      </c>
      <c r="I134" s="6">
        <f>16+4</f>
        <v>20</v>
      </c>
      <c r="J134" s="8">
        <f>0+0</f>
        <v>0</v>
      </c>
      <c r="K134" s="10">
        <f>186+13</f>
        <v>199</v>
      </c>
      <c r="L134" s="13">
        <f t="shared" si="5"/>
        <v>-114</v>
      </c>
    </row>
    <row r="135" spans="1:12" ht="30" customHeight="1" x14ac:dyDescent="0.25">
      <c r="A135" s="11" t="s">
        <v>24</v>
      </c>
      <c r="B135" s="11" t="s">
        <v>143</v>
      </c>
      <c r="C135" s="2" t="s">
        <v>149</v>
      </c>
      <c r="D135" s="4">
        <f>60+10</f>
        <v>70</v>
      </c>
      <c r="E135" s="6">
        <f>10+0</f>
        <v>10</v>
      </c>
      <c r="F135" s="8">
        <f t="shared" si="16"/>
        <v>0</v>
      </c>
      <c r="G135" s="10">
        <f t="shared" si="15"/>
        <v>0</v>
      </c>
      <c r="H135" s="4">
        <f>14+0</f>
        <v>14</v>
      </c>
      <c r="I135" s="6">
        <f>12+0</f>
        <v>12</v>
      </c>
      <c r="J135" s="8">
        <f>0+0</f>
        <v>0</v>
      </c>
      <c r="K135" s="10">
        <f>27+3</f>
        <v>30</v>
      </c>
      <c r="L135" s="15">
        <f t="shared" si="5"/>
        <v>24</v>
      </c>
    </row>
    <row r="136" spans="1:12" ht="30" customHeight="1" x14ac:dyDescent="0.25">
      <c r="A136" s="11" t="s">
        <v>24</v>
      </c>
      <c r="B136" s="11" t="s">
        <v>144</v>
      </c>
      <c r="C136" s="2" t="s">
        <v>149</v>
      </c>
      <c r="D136" s="4">
        <f>16+0</f>
        <v>16</v>
      </c>
      <c r="E136" s="6">
        <f>4+0</f>
        <v>4</v>
      </c>
      <c r="F136" s="8">
        <f t="shared" si="16"/>
        <v>0</v>
      </c>
      <c r="G136" s="10">
        <f t="shared" si="15"/>
        <v>0</v>
      </c>
      <c r="H136" s="4">
        <f>26+0</f>
        <v>26</v>
      </c>
      <c r="I136" s="6">
        <f>9+0</f>
        <v>9</v>
      </c>
      <c r="J136" s="8">
        <f>0+0</f>
        <v>0</v>
      </c>
      <c r="K136" s="10">
        <f>0+0</f>
        <v>0</v>
      </c>
      <c r="L136" s="13">
        <f t="shared" si="5"/>
        <v>-15</v>
      </c>
    </row>
    <row r="137" spans="1:12" ht="30" customHeight="1" x14ac:dyDescent="0.25">
      <c r="A137" s="11" t="s">
        <v>24</v>
      </c>
      <c r="B137" s="11" t="s">
        <v>145</v>
      </c>
      <c r="C137" s="2" t="s">
        <v>149</v>
      </c>
      <c r="D137" s="4">
        <f>40+3</f>
        <v>43</v>
      </c>
      <c r="E137" s="6">
        <f>5+1</f>
        <v>6</v>
      </c>
      <c r="F137" s="8">
        <f>5+1</f>
        <v>6</v>
      </c>
      <c r="G137" s="10">
        <f>16+1</f>
        <v>17</v>
      </c>
      <c r="H137" s="4">
        <f>65+3</f>
        <v>68</v>
      </c>
      <c r="I137" s="6">
        <f>14+1</f>
        <v>15</v>
      </c>
      <c r="J137" s="8">
        <f>18+0</f>
        <v>18</v>
      </c>
      <c r="K137" s="10">
        <f>57+7</f>
        <v>64</v>
      </c>
      <c r="L137" s="13">
        <f t="shared" ref="L137:L238" si="17">(D137+E137+F137+G137)-(H137+I137+J137+K137)</f>
        <v>-93</v>
      </c>
    </row>
    <row r="138" spans="1:12" ht="30" customHeight="1" x14ac:dyDescent="0.25">
      <c r="A138" s="11" t="s">
        <v>24</v>
      </c>
      <c r="B138" s="11" t="s">
        <v>146</v>
      </c>
      <c r="C138" s="2" t="s">
        <v>149</v>
      </c>
      <c r="D138" s="4">
        <f>22+0</f>
        <v>22</v>
      </c>
      <c r="E138" s="6">
        <f>6+0</f>
        <v>6</v>
      </c>
      <c r="F138" s="8">
        <f>2+0</f>
        <v>2</v>
      </c>
      <c r="G138" s="10">
        <f>0+0</f>
        <v>0</v>
      </c>
      <c r="H138" s="4">
        <f>20+0</f>
        <v>20</v>
      </c>
      <c r="I138" s="6">
        <f>6+0</f>
        <v>6</v>
      </c>
      <c r="J138" s="8">
        <f>1+0</f>
        <v>1</v>
      </c>
      <c r="K138" s="10">
        <f>10+1</f>
        <v>11</v>
      </c>
      <c r="L138" s="13">
        <f t="shared" si="17"/>
        <v>-8</v>
      </c>
    </row>
    <row r="139" spans="1:12" ht="30" customHeight="1" x14ac:dyDescent="0.25">
      <c r="A139" s="11" t="s">
        <v>24</v>
      </c>
      <c r="B139" s="11" t="s">
        <v>147</v>
      </c>
      <c r="C139" s="2" t="s">
        <v>149</v>
      </c>
      <c r="D139" s="4">
        <f>138+12</f>
        <v>150</v>
      </c>
      <c r="E139" s="6">
        <f>0+0</f>
        <v>0</v>
      </c>
      <c r="F139" s="8">
        <f>0+0</f>
        <v>0</v>
      </c>
      <c r="G139" s="10">
        <f>0+0</f>
        <v>0</v>
      </c>
      <c r="H139" s="4">
        <f>98+4</f>
        <v>102</v>
      </c>
      <c r="I139" s="6">
        <f>0+0</f>
        <v>0</v>
      </c>
      <c r="J139" s="8">
        <f>0+0</f>
        <v>0</v>
      </c>
      <c r="K139" s="10">
        <f>106+3</f>
        <v>109</v>
      </c>
      <c r="L139" s="13">
        <f t="shared" si="17"/>
        <v>-61</v>
      </c>
    </row>
    <row r="140" spans="1:12" ht="30" customHeight="1" x14ac:dyDescent="0.25">
      <c r="A140" s="11" t="s">
        <v>24</v>
      </c>
      <c r="B140" s="11" t="s">
        <v>148</v>
      </c>
      <c r="C140" s="2" t="s">
        <v>149</v>
      </c>
      <c r="D140" s="4">
        <f>12+0</f>
        <v>12</v>
      </c>
      <c r="E140" s="6">
        <f>4+0</f>
        <v>4</v>
      </c>
      <c r="F140" s="8">
        <f>0+0</f>
        <v>0</v>
      </c>
      <c r="G140" s="10">
        <f>16+0</f>
        <v>16</v>
      </c>
      <c r="H140" s="4">
        <f>10+0</f>
        <v>10</v>
      </c>
      <c r="I140" s="6">
        <f>1+0</f>
        <v>1</v>
      </c>
      <c r="J140" s="8">
        <f>0+0</f>
        <v>0</v>
      </c>
      <c r="K140" s="10">
        <f>13+0</f>
        <v>13</v>
      </c>
      <c r="L140" s="15">
        <f t="shared" si="17"/>
        <v>8</v>
      </c>
    </row>
    <row r="141" spans="1:12" ht="30" customHeight="1" x14ac:dyDescent="0.25">
      <c r="A141" s="11" t="s">
        <v>150</v>
      </c>
      <c r="B141" s="11" t="s">
        <v>151</v>
      </c>
      <c r="C141" s="2" t="s">
        <v>21</v>
      </c>
      <c r="D141" s="4">
        <v>0</v>
      </c>
      <c r="E141" s="6">
        <v>0</v>
      </c>
      <c r="F141" s="8">
        <v>0</v>
      </c>
      <c r="G141" s="10">
        <v>30</v>
      </c>
      <c r="H141" s="4">
        <v>3</v>
      </c>
      <c r="I141" s="6">
        <v>0</v>
      </c>
      <c r="J141" s="8">
        <v>0</v>
      </c>
      <c r="K141" s="10">
        <v>35</v>
      </c>
      <c r="L141" s="13">
        <f t="shared" si="17"/>
        <v>-8</v>
      </c>
    </row>
    <row r="142" spans="1:12" ht="30" customHeight="1" x14ac:dyDescent="0.25">
      <c r="A142" s="11" t="s">
        <v>150</v>
      </c>
      <c r="B142" s="11" t="s">
        <v>152</v>
      </c>
      <c r="C142" s="2" t="s">
        <v>21</v>
      </c>
      <c r="D142" s="4">
        <v>17</v>
      </c>
      <c r="E142" s="6">
        <v>0</v>
      </c>
      <c r="F142" s="8">
        <v>0</v>
      </c>
      <c r="G142" s="10">
        <v>0</v>
      </c>
      <c r="H142" s="4">
        <v>17</v>
      </c>
      <c r="I142" s="6">
        <v>0</v>
      </c>
      <c r="J142" s="8">
        <v>0</v>
      </c>
      <c r="K142" s="10">
        <v>13</v>
      </c>
      <c r="L142" s="13">
        <f t="shared" si="17"/>
        <v>-13</v>
      </c>
    </row>
    <row r="143" spans="1:12" ht="30" customHeight="1" x14ac:dyDescent="0.25">
      <c r="A143" s="11" t="s">
        <v>150</v>
      </c>
      <c r="B143" s="11" t="s">
        <v>153</v>
      </c>
      <c r="C143" s="2" t="s">
        <v>21</v>
      </c>
      <c r="D143" s="4">
        <v>0</v>
      </c>
      <c r="E143" s="6">
        <v>0</v>
      </c>
      <c r="F143" s="8">
        <v>0</v>
      </c>
      <c r="G143" s="10">
        <v>43</v>
      </c>
      <c r="H143" s="4">
        <v>16</v>
      </c>
      <c r="I143" s="6">
        <v>0</v>
      </c>
      <c r="J143" s="8">
        <v>0</v>
      </c>
      <c r="K143" s="10">
        <v>37</v>
      </c>
      <c r="L143" s="13">
        <f t="shared" si="17"/>
        <v>-10</v>
      </c>
    </row>
    <row r="144" spans="1:12" ht="30" customHeight="1" x14ac:dyDescent="0.25">
      <c r="A144" s="11" t="s">
        <v>150</v>
      </c>
      <c r="B144" s="11" t="s">
        <v>154</v>
      </c>
      <c r="C144" s="2" t="s">
        <v>21</v>
      </c>
      <c r="D144" s="4">
        <v>0</v>
      </c>
      <c r="E144" s="6">
        <v>0</v>
      </c>
      <c r="F144" s="8">
        <v>0</v>
      </c>
      <c r="G144" s="10">
        <v>25</v>
      </c>
      <c r="H144" s="4">
        <v>20</v>
      </c>
      <c r="I144" s="6">
        <v>0</v>
      </c>
      <c r="J144" s="8">
        <v>0</v>
      </c>
      <c r="K144" s="10">
        <v>31</v>
      </c>
      <c r="L144" s="13">
        <f t="shared" si="17"/>
        <v>-26</v>
      </c>
    </row>
    <row r="145" spans="1:12" ht="30" customHeight="1" x14ac:dyDescent="0.25">
      <c r="A145" s="11" t="s">
        <v>150</v>
      </c>
      <c r="B145" s="11" t="s">
        <v>155</v>
      </c>
      <c r="C145" s="2" t="s">
        <v>21</v>
      </c>
      <c r="D145" s="4">
        <v>0</v>
      </c>
      <c r="E145" s="6">
        <v>0</v>
      </c>
      <c r="F145" s="8">
        <v>0</v>
      </c>
      <c r="G145" s="10">
        <v>25</v>
      </c>
      <c r="H145" s="4">
        <v>2</v>
      </c>
      <c r="I145" s="6">
        <v>0</v>
      </c>
      <c r="J145" s="8">
        <v>0</v>
      </c>
      <c r="K145" s="10">
        <v>22</v>
      </c>
      <c r="L145" s="15">
        <f t="shared" si="17"/>
        <v>1</v>
      </c>
    </row>
    <row r="146" spans="1:12" ht="30" customHeight="1" x14ac:dyDescent="0.25">
      <c r="A146" s="11" t="s">
        <v>150</v>
      </c>
      <c r="B146" s="11" t="s">
        <v>156</v>
      </c>
      <c r="C146" s="2" t="s">
        <v>21</v>
      </c>
      <c r="D146" s="4">
        <v>66</v>
      </c>
      <c r="E146" s="6">
        <v>0</v>
      </c>
      <c r="F146" s="8">
        <v>0</v>
      </c>
      <c r="G146" s="10">
        <v>0</v>
      </c>
      <c r="H146" s="4">
        <v>34</v>
      </c>
      <c r="I146" s="6">
        <v>0</v>
      </c>
      <c r="J146" s="8">
        <v>0</v>
      </c>
      <c r="K146" s="10">
        <v>52</v>
      </c>
      <c r="L146" s="13">
        <f t="shared" si="17"/>
        <v>-20</v>
      </c>
    </row>
    <row r="147" spans="1:12" ht="30" customHeight="1" x14ac:dyDescent="0.25">
      <c r="A147" s="11" t="s">
        <v>150</v>
      </c>
      <c r="B147" s="11" t="s">
        <v>157</v>
      </c>
      <c r="C147" s="2" t="s">
        <v>21</v>
      </c>
      <c r="D147" s="4">
        <v>60</v>
      </c>
      <c r="E147" s="6">
        <v>14</v>
      </c>
      <c r="F147" s="8">
        <v>0</v>
      </c>
      <c r="G147" s="10">
        <v>0</v>
      </c>
      <c r="H147" s="4">
        <v>17</v>
      </c>
      <c r="I147" s="6">
        <v>7</v>
      </c>
      <c r="J147" s="8">
        <v>0</v>
      </c>
      <c r="K147" s="10">
        <v>52</v>
      </c>
      <c r="L147" s="13">
        <f t="shared" si="17"/>
        <v>-2</v>
      </c>
    </row>
    <row r="148" spans="1:12" ht="30" customHeight="1" x14ac:dyDescent="0.25">
      <c r="A148" s="11" t="s">
        <v>150</v>
      </c>
      <c r="B148" s="11" t="s">
        <v>158</v>
      </c>
      <c r="C148" s="2" t="s">
        <v>21</v>
      </c>
      <c r="D148" s="4">
        <v>48</v>
      </c>
      <c r="E148" s="6">
        <v>0</v>
      </c>
      <c r="F148" s="8">
        <v>0</v>
      </c>
      <c r="G148" s="10">
        <v>0</v>
      </c>
      <c r="H148" s="4">
        <v>49</v>
      </c>
      <c r="I148" s="6">
        <v>0</v>
      </c>
      <c r="J148" s="8">
        <v>0</v>
      </c>
      <c r="K148" s="10">
        <v>58</v>
      </c>
      <c r="L148" s="13">
        <f t="shared" si="17"/>
        <v>-59</v>
      </c>
    </row>
    <row r="149" spans="1:12" ht="30" customHeight="1" x14ac:dyDescent="0.25">
      <c r="A149" s="11" t="s">
        <v>150</v>
      </c>
      <c r="B149" s="11" t="s">
        <v>159</v>
      </c>
      <c r="C149" s="2" t="s">
        <v>21</v>
      </c>
      <c r="D149" s="4">
        <v>0</v>
      </c>
      <c r="E149" s="6">
        <v>0</v>
      </c>
      <c r="F149" s="8">
        <v>0</v>
      </c>
      <c r="G149" s="10">
        <v>32</v>
      </c>
      <c r="H149" s="4">
        <v>6</v>
      </c>
      <c r="I149" s="6">
        <v>0</v>
      </c>
      <c r="J149" s="8">
        <v>0</v>
      </c>
      <c r="K149" s="10">
        <v>30</v>
      </c>
      <c r="L149" s="13">
        <f t="shared" si="17"/>
        <v>-4</v>
      </c>
    </row>
    <row r="150" spans="1:12" ht="30" customHeight="1" x14ac:dyDescent="0.25">
      <c r="A150" s="11" t="s">
        <v>150</v>
      </c>
      <c r="B150" s="11" t="s">
        <v>160</v>
      </c>
      <c r="C150" s="2" t="s">
        <v>21</v>
      </c>
      <c r="D150" s="4">
        <v>366</v>
      </c>
      <c r="E150" s="6">
        <v>0</v>
      </c>
      <c r="F150" s="8">
        <v>0</v>
      </c>
      <c r="G150" s="10">
        <v>0</v>
      </c>
      <c r="H150" s="4">
        <v>285</v>
      </c>
      <c r="I150" s="6">
        <v>0</v>
      </c>
      <c r="J150" s="8">
        <v>0</v>
      </c>
      <c r="K150" s="10">
        <v>157</v>
      </c>
      <c r="L150" s="13">
        <f t="shared" si="17"/>
        <v>-76</v>
      </c>
    </row>
    <row r="151" spans="1:12" ht="30" customHeight="1" x14ac:dyDescent="0.25">
      <c r="A151" s="11" t="s">
        <v>150</v>
      </c>
      <c r="B151" s="11" t="s">
        <v>161</v>
      </c>
      <c r="C151" s="2" t="s">
        <v>21</v>
      </c>
      <c r="D151" s="4">
        <v>0</v>
      </c>
      <c r="E151" s="6">
        <v>6</v>
      </c>
      <c r="F151" s="8">
        <v>0</v>
      </c>
      <c r="G151" s="10">
        <v>25</v>
      </c>
      <c r="H151" s="4">
        <v>0</v>
      </c>
      <c r="I151" s="6">
        <v>3</v>
      </c>
      <c r="J151" s="8">
        <v>0</v>
      </c>
      <c r="K151" s="10">
        <v>26</v>
      </c>
      <c r="L151" s="15">
        <f t="shared" si="17"/>
        <v>2</v>
      </c>
    </row>
    <row r="152" spans="1:12" ht="30" customHeight="1" x14ac:dyDescent="0.25">
      <c r="A152" s="11" t="s">
        <v>150</v>
      </c>
      <c r="B152" s="11" t="s">
        <v>162</v>
      </c>
      <c r="C152" s="2" t="s">
        <v>21</v>
      </c>
      <c r="D152" s="4">
        <v>0</v>
      </c>
      <c r="E152" s="6">
        <v>0</v>
      </c>
      <c r="F152" s="8">
        <v>0</v>
      </c>
      <c r="G152" s="10">
        <v>24</v>
      </c>
      <c r="H152" s="4">
        <v>13</v>
      </c>
      <c r="I152" s="6">
        <v>0</v>
      </c>
      <c r="J152" s="8">
        <v>0</v>
      </c>
      <c r="K152" s="10">
        <v>30</v>
      </c>
      <c r="L152" s="13">
        <f t="shared" si="17"/>
        <v>-19</v>
      </c>
    </row>
    <row r="153" spans="1:12" ht="30" customHeight="1" x14ac:dyDescent="0.25">
      <c r="A153" s="11" t="s">
        <v>150</v>
      </c>
      <c r="B153" s="11" t="s">
        <v>163</v>
      </c>
      <c r="C153" s="2" t="s">
        <v>21</v>
      </c>
      <c r="D153" s="4">
        <v>47</v>
      </c>
      <c r="E153" s="6">
        <v>0</v>
      </c>
      <c r="F153" s="8">
        <v>0</v>
      </c>
      <c r="G153" s="10">
        <v>0</v>
      </c>
      <c r="H153" s="4">
        <v>11</v>
      </c>
      <c r="I153" s="6">
        <v>0</v>
      </c>
      <c r="J153" s="8">
        <v>0</v>
      </c>
      <c r="K153" s="10">
        <v>20</v>
      </c>
      <c r="L153" s="15">
        <f t="shared" si="17"/>
        <v>16</v>
      </c>
    </row>
    <row r="154" spans="1:12" ht="30" customHeight="1" x14ac:dyDescent="0.25">
      <c r="A154" s="11" t="s">
        <v>150</v>
      </c>
      <c r="B154" s="11" t="s">
        <v>164</v>
      </c>
      <c r="C154" s="2" t="s">
        <v>21</v>
      </c>
      <c r="D154" s="4">
        <v>0</v>
      </c>
      <c r="E154" s="6">
        <v>0</v>
      </c>
      <c r="F154" s="8">
        <v>0</v>
      </c>
      <c r="G154" s="10">
        <v>159</v>
      </c>
      <c r="H154" s="4">
        <v>29</v>
      </c>
      <c r="I154" s="6">
        <v>0</v>
      </c>
      <c r="J154" s="8">
        <v>0</v>
      </c>
      <c r="K154" s="10">
        <v>161</v>
      </c>
      <c r="L154" s="13">
        <f t="shared" si="17"/>
        <v>-31</v>
      </c>
    </row>
    <row r="155" spans="1:12" ht="30" customHeight="1" x14ac:dyDescent="0.25">
      <c r="A155" s="11" t="s">
        <v>150</v>
      </c>
      <c r="B155" s="11" t="s">
        <v>165</v>
      </c>
      <c r="C155" s="2" t="s">
        <v>21</v>
      </c>
      <c r="D155" s="4">
        <v>327</v>
      </c>
      <c r="E155" s="6">
        <v>0</v>
      </c>
      <c r="F155" s="8">
        <v>0</v>
      </c>
      <c r="G155" s="10">
        <v>0</v>
      </c>
      <c r="H155" s="4">
        <v>364</v>
      </c>
      <c r="I155" s="6">
        <v>0</v>
      </c>
      <c r="J155" s="8">
        <v>0</v>
      </c>
      <c r="K155" s="10">
        <v>381</v>
      </c>
      <c r="L155" s="13">
        <f t="shared" si="17"/>
        <v>-418</v>
      </c>
    </row>
    <row r="156" spans="1:12" ht="30" customHeight="1" x14ac:dyDescent="0.25">
      <c r="A156" s="11" t="s">
        <v>150</v>
      </c>
      <c r="B156" s="11" t="s">
        <v>166</v>
      </c>
      <c r="C156" s="2" t="s">
        <v>21</v>
      </c>
      <c r="D156" s="4">
        <v>0</v>
      </c>
      <c r="E156" s="6">
        <v>0</v>
      </c>
      <c r="F156" s="8">
        <v>0</v>
      </c>
      <c r="G156" s="10">
        <v>144</v>
      </c>
      <c r="H156" s="4">
        <v>126</v>
      </c>
      <c r="I156" s="6">
        <v>0</v>
      </c>
      <c r="J156" s="8">
        <v>0</v>
      </c>
      <c r="K156" s="10">
        <v>116</v>
      </c>
      <c r="L156" s="13">
        <f t="shared" si="17"/>
        <v>-98</v>
      </c>
    </row>
    <row r="157" spans="1:12" ht="30" customHeight="1" x14ac:dyDescent="0.25">
      <c r="A157" s="11" t="s">
        <v>150</v>
      </c>
      <c r="B157" s="11" t="s">
        <v>167</v>
      </c>
      <c r="C157" s="2" t="s">
        <v>21</v>
      </c>
      <c r="D157" s="4">
        <v>62</v>
      </c>
      <c r="E157" s="6">
        <v>0</v>
      </c>
      <c r="F157" s="8">
        <v>0</v>
      </c>
      <c r="G157" s="10">
        <v>0</v>
      </c>
      <c r="H157" s="4">
        <v>26</v>
      </c>
      <c r="I157" s="6">
        <v>0</v>
      </c>
      <c r="J157" s="8">
        <v>0</v>
      </c>
      <c r="K157" s="10">
        <v>11</v>
      </c>
      <c r="L157" s="15">
        <f t="shared" si="17"/>
        <v>25</v>
      </c>
    </row>
    <row r="158" spans="1:12" ht="30" customHeight="1" x14ac:dyDescent="0.25">
      <c r="A158" s="11" t="s">
        <v>150</v>
      </c>
      <c r="B158" s="11" t="s">
        <v>168</v>
      </c>
      <c r="C158" s="2" t="s">
        <v>21</v>
      </c>
      <c r="D158" s="4">
        <v>0</v>
      </c>
      <c r="E158" s="6">
        <v>0</v>
      </c>
      <c r="F158" s="8">
        <v>0</v>
      </c>
      <c r="G158" s="10">
        <v>32</v>
      </c>
      <c r="H158" s="4">
        <v>11</v>
      </c>
      <c r="I158" s="6">
        <v>0</v>
      </c>
      <c r="J158" s="8">
        <v>0</v>
      </c>
      <c r="K158" s="10">
        <v>32</v>
      </c>
      <c r="L158" s="13">
        <f t="shared" si="17"/>
        <v>-11</v>
      </c>
    </row>
    <row r="159" spans="1:12" ht="30" customHeight="1" x14ac:dyDescent="0.25">
      <c r="A159" s="11" t="s">
        <v>150</v>
      </c>
      <c r="B159" s="11" t="s">
        <v>169</v>
      </c>
      <c r="C159" s="2" t="s">
        <v>21</v>
      </c>
      <c r="D159" s="4">
        <v>392</v>
      </c>
      <c r="E159" s="6">
        <v>0</v>
      </c>
      <c r="F159" s="8">
        <v>0</v>
      </c>
      <c r="G159" s="10">
        <v>0</v>
      </c>
      <c r="H159" s="4">
        <v>243</v>
      </c>
      <c r="I159" s="6">
        <v>2</v>
      </c>
      <c r="J159" s="8">
        <v>0</v>
      </c>
      <c r="K159" s="10">
        <v>491</v>
      </c>
      <c r="L159" s="13">
        <f t="shared" si="17"/>
        <v>-344</v>
      </c>
    </row>
    <row r="160" spans="1:12" ht="30" customHeight="1" x14ac:dyDescent="0.25">
      <c r="A160" s="11" t="s">
        <v>150</v>
      </c>
      <c r="B160" s="11" t="s">
        <v>170</v>
      </c>
      <c r="C160" s="2" t="s">
        <v>21</v>
      </c>
      <c r="D160" s="4">
        <v>75</v>
      </c>
      <c r="E160" s="6">
        <v>21</v>
      </c>
      <c r="F160" s="8">
        <v>0</v>
      </c>
      <c r="G160" s="10">
        <v>0</v>
      </c>
      <c r="H160" s="4">
        <v>72</v>
      </c>
      <c r="I160" s="6">
        <v>11</v>
      </c>
      <c r="J160" s="8">
        <v>0</v>
      </c>
      <c r="K160" s="10">
        <v>141</v>
      </c>
      <c r="L160" s="13">
        <f t="shared" si="17"/>
        <v>-128</v>
      </c>
    </row>
    <row r="161" spans="1:12" ht="30" customHeight="1" x14ac:dyDescent="0.25">
      <c r="A161" s="11" t="s">
        <v>150</v>
      </c>
      <c r="B161" s="11" t="s">
        <v>171</v>
      </c>
      <c r="C161" s="2" t="s">
        <v>21</v>
      </c>
      <c r="D161" s="4">
        <v>398</v>
      </c>
      <c r="E161" s="6">
        <v>0</v>
      </c>
      <c r="F161" s="8">
        <v>0</v>
      </c>
      <c r="G161" s="10">
        <v>237</v>
      </c>
      <c r="H161" s="4">
        <v>398</v>
      </c>
      <c r="I161" s="6">
        <v>0</v>
      </c>
      <c r="J161" s="8">
        <v>0</v>
      </c>
      <c r="K161" s="10">
        <v>237</v>
      </c>
      <c r="L161" s="15">
        <f t="shared" si="17"/>
        <v>0</v>
      </c>
    </row>
    <row r="162" spans="1:12" ht="30" customHeight="1" x14ac:dyDescent="0.25">
      <c r="A162" s="11" t="s">
        <v>150</v>
      </c>
      <c r="B162" s="11" t="s">
        <v>172</v>
      </c>
      <c r="C162" s="2" t="s">
        <v>21</v>
      </c>
      <c r="D162" s="4">
        <v>144</v>
      </c>
      <c r="E162" s="6">
        <v>0</v>
      </c>
      <c r="F162" s="8">
        <v>0</v>
      </c>
      <c r="G162" s="10">
        <v>0</v>
      </c>
      <c r="H162" s="4">
        <v>67</v>
      </c>
      <c r="I162" s="6">
        <v>0</v>
      </c>
      <c r="J162" s="8">
        <v>0</v>
      </c>
      <c r="K162" s="10">
        <v>136</v>
      </c>
      <c r="L162" s="13">
        <f t="shared" si="17"/>
        <v>-59</v>
      </c>
    </row>
    <row r="163" spans="1:12" ht="30" customHeight="1" x14ac:dyDescent="0.25">
      <c r="A163" s="11" t="s">
        <v>150</v>
      </c>
      <c r="B163" s="11" t="s">
        <v>173</v>
      </c>
      <c r="C163" s="2" t="s">
        <v>21</v>
      </c>
      <c r="D163" s="4">
        <v>0</v>
      </c>
      <c r="E163" s="6">
        <v>0</v>
      </c>
      <c r="F163" s="8">
        <v>0</v>
      </c>
      <c r="G163" s="10">
        <v>20</v>
      </c>
      <c r="H163" s="4">
        <v>37</v>
      </c>
      <c r="I163" s="6">
        <v>0</v>
      </c>
      <c r="J163" s="8">
        <v>0</v>
      </c>
      <c r="K163" s="10">
        <v>21</v>
      </c>
      <c r="L163" s="13">
        <f t="shared" si="17"/>
        <v>-38</v>
      </c>
    </row>
    <row r="164" spans="1:12" ht="30" customHeight="1" x14ac:dyDescent="0.25">
      <c r="A164" s="11" t="s">
        <v>150</v>
      </c>
      <c r="B164" s="11" t="s">
        <v>174</v>
      </c>
      <c r="C164" s="2" t="s">
        <v>21</v>
      </c>
      <c r="D164" s="4">
        <v>0</v>
      </c>
      <c r="E164" s="6">
        <v>0</v>
      </c>
      <c r="F164" s="8">
        <v>0</v>
      </c>
      <c r="G164" s="10">
        <v>57</v>
      </c>
      <c r="H164" s="4">
        <v>32</v>
      </c>
      <c r="I164" s="6">
        <v>0</v>
      </c>
      <c r="J164" s="8">
        <v>0</v>
      </c>
      <c r="K164" s="10">
        <v>67</v>
      </c>
      <c r="L164" s="13">
        <f t="shared" si="17"/>
        <v>-42</v>
      </c>
    </row>
    <row r="165" spans="1:12" ht="30" customHeight="1" x14ac:dyDescent="0.25">
      <c r="A165" s="11" t="s">
        <v>150</v>
      </c>
      <c r="B165" s="11" t="s">
        <v>175</v>
      </c>
      <c r="C165" s="2" t="s">
        <v>21</v>
      </c>
      <c r="D165" s="4">
        <v>848</v>
      </c>
      <c r="E165" s="6">
        <v>0</v>
      </c>
      <c r="F165" s="8">
        <v>0</v>
      </c>
      <c r="G165" s="10">
        <v>0</v>
      </c>
      <c r="H165" s="4">
        <v>702</v>
      </c>
      <c r="I165" s="6">
        <v>0</v>
      </c>
      <c r="J165" s="8">
        <v>0</v>
      </c>
      <c r="K165" s="10">
        <v>1149</v>
      </c>
      <c r="L165" s="13">
        <f t="shared" si="17"/>
        <v>-1003</v>
      </c>
    </row>
    <row r="166" spans="1:12" ht="30" customHeight="1" x14ac:dyDescent="0.25">
      <c r="A166" s="11" t="s">
        <v>150</v>
      </c>
      <c r="B166" s="11" t="s">
        <v>176</v>
      </c>
      <c r="C166" s="2" t="s">
        <v>21</v>
      </c>
      <c r="D166" s="4">
        <v>892</v>
      </c>
      <c r="E166" s="6">
        <v>0</v>
      </c>
      <c r="F166" s="8">
        <v>0</v>
      </c>
      <c r="G166" s="10">
        <v>0</v>
      </c>
      <c r="H166" s="4">
        <v>770</v>
      </c>
      <c r="I166" s="6">
        <v>0</v>
      </c>
      <c r="J166" s="8">
        <v>0</v>
      </c>
      <c r="K166" s="10">
        <v>426</v>
      </c>
      <c r="L166" s="13">
        <f t="shared" si="17"/>
        <v>-304</v>
      </c>
    </row>
    <row r="167" spans="1:12" ht="30" customHeight="1" x14ac:dyDescent="0.25">
      <c r="A167" s="11" t="s">
        <v>150</v>
      </c>
      <c r="B167" s="11" t="s">
        <v>177</v>
      </c>
      <c r="C167" s="2" t="s">
        <v>21</v>
      </c>
      <c r="D167" s="4">
        <v>92</v>
      </c>
      <c r="E167" s="6">
        <v>0</v>
      </c>
      <c r="F167" s="8">
        <v>0</v>
      </c>
      <c r="G167" s="10">
        <v>0</v>
      </c>
      <c r="H167" s="4">
        <v>115</v>
      </c>
      <c r="I167" s="6">
        <v>0</v>
      </c>
      <c r="J167" s="8">
        <v>0</v>
      </c>
      <c r="K167" s="10">
        <v>235</v>
      </c>
      <c r="L167" s="13">
        <f t="shared" si="17"/>
        <v>-258</v>
      </c>
    </row>
    <row r="168" spans="1:12" ht="30" customHeight="1" x14ac:dyDescent="0.25">
      <c r="A168" s="11" t="s">
        <v>150</v>
      </c>
      <c r="B168" s="11" t="s">
        <v>178</v>
      </c>
      <c r="C168" s="2" t="s">
        <v>21</v>
      </c>
      <c r="D168" s="4">
        <v>26</v>
      </c>
      <c r="E168" s="6">
        <v>20</v>
      </c>
      <c r="F168" s="8">
        <v>0</v>
      </c>
      <c r="G168" s="10">
        <v>0</v>
      </c>
      <c r="H168" s="4">
        <v>25</v>
      </c>
      <c r="I168" s="6">
        <v>6</v>
      </c>
      <c r="J168" s="8">
        <v>0</v>
      </c>
      <c r="K168" s="10">
        <v>34</v>
      </c>
      <c r="L168" s="13">
        <f t="shared" si="17"/>
        <v>-19</v>
      </c>
    </row>
    <row r="169" spans="1:12" ht="30" customHeight="1" x14ac:dyDescent="0.25">
      <c r="A169" s="11" t="s">
        <v>150</v>
      </c>
      <c r="B169" s="11" t="s">
        <v>179</v>
      </c>
      <c r="C169" s="2" t="s">
        <v>21</v>
      </c>
      <c r="D169" s="4">
        <v>0</v>
      </c>
      <c r="E169" s="6">
        <v>0</v>
      </c>
      <c r="F169" s="8">
        <v>0</v>
      </c>
      <c r="G169" s="10">
        <v>74</v>
      </c>
      <c r="H169" s="4">
        <v>86</v>
      </c>
      <c r="I169" s="6">
        <v>0</v>
      </c>
      <c r="J169" s="8">
        <v>0</v>
      </c>
      <c r="K169" s="10">
        <v>131</v>
      </c>
      <c r="L169" s="13">
        <f t="shared" si="17"/>
        <v>-143</v>
      </c>
    </row>
    <row r="170" spans="1:12" ht="30" customHeight="1" x14ac:dyDescent="0.25">
      <c r="A170" s="11" t="s">
        <v>150</v>
      </c>
      <c r="B170" s="11" t="s">
        <v>180</v>
      </c>
      <c r="C170" s="2" t="s">
        <v>21</v>
      </c>
      <c r="D170" s="4">
        <v>0</v>
      </c>
      <c r="E170" s="6">
        <v>100</v>
      </c>
      <c r="F170" s="8">
        <v>0</v>
      </c>
      <c r="G170" s="10">
        <v>0</v>
      </c>
      <c r="H170" s="4">
        <v>0</v>
      </c>
      <c r="I170" s="6">
        <v>4</v>
      </c>
      <c r="J170" s="8">
        <v>0</v>
      </c>
      <c r="K170" s="10">
        <v>0</v>
      </c>
      <c r="L170" s="15">
        <f t="shared" si="17"/>
        <v>96</v>
      </c>
    </row>
    <row r="171" spans="1:12" ht="30" customHeight="1" x14ac:dyDescent="0.25">
      <c r="A171" s="11" t="s">
        <v>150</v>
      </c>
      <c r="B171" s="11" t="s">
        <v>181</v>
      </c>
      <c r="C171" s="2" t="s">
        <v>21</v>
      </c>
      <c r="D171" s="4">
        <v>20</v>
      </c>
      <c r="E171" s="6">
        <v>5</v>
      </c>
      <c r="F171" s="8">
        <v>0</v>
      </c>
      <c r="G171" s="10">
        <v>0</v>
      </c>
      <c r="H171" s="4">
        <v>20</v>
      </c>
      <c r="I171" s="6">
        <v>5</v>
      </c>
      <c r="J171" s="8">
        <v>0</v>
      </c>
      <c r="K171" s="10">
        <v>23</v>
      </c>
      <c r="L171" s="13">
        <f t="shared" si="17"/>
        <v>-23</v>
      </c>
    </row>
    <row r="172" spans="1:12" ht="30" customHeight="1" x14ac:dyDescent="0.25">
      <c r="A172" s="11" t="s">
        <v>150</v>
      </c>
      <c r="B172" s="11" t="s">
        <v>182</v>
      </c>
      <c r="C172" s="2" t="s">
        <v>21</v>
      </c>
      <c r="D172" s="4">
        <v>0</v>
      </c>
      <c r="E172" s="6">
        <v>0</v>
      </c>
      <c r="F172" s="8">
        <v>0</v>
      </c>
      <c r="G172" s="10">
        <v>152</v>
      </c>
      <c r="H172" s="4">
        <v>118</v>
      </c>
      <c r="I172" s="6">
        <v>0</v>
      </c>
      <c r="J172" s="8">
        <v>0</v>
      </c>
      <c r="K172" s="10">
        <v>119</v>
      </c>
      <c r="L172" s="13">
        <f t="shared" si="17"/>
        <v>-85</v>
      </c>
    </row>
    <row r="173" spans="1:12" ht="30" customHeight="1" x14ac:dyDescent="0.25">
      <c r="A173" s="11" t="s">
        <v>150</v>
      </c>
      <c r="B173" s="11" t="s">
        <v>183</v>
      </c>
      <c r="C173" s="2" t="s">
        <v>21</v>
      </c>
      <c r="D173" s="4">
        <v>84</v>
      </c>
      <c r="E173" s="6">
        <v>0</v>
      </c>
      <c r="F173" s="8">
        <v>0</v>
      </c>
      <c r="G173" s="10">
        <v>0</v>
      </c>
      <c r="H173" s="4">
        <v>23</v>
      </c>
      <c r="I173" s="6">
        <v>0</v>
      </c>
      <c r="J173" s="8">
        <v>0</v>
      </c>
      <c r="K173" s="10">
        <v>30</v>
      </c>
      <c r="L173" s="15">
        <f t="shared" si="17"/>
        <v>31</v>
      </c>
    </row>
    <row r="174" spans="1:12" ht="30" customHeight="1" x14ac:dyDescent="0.25">
      <c r="A174" s="11" t="s">
        <v>150</v>
      </c>
      <c r="B174" s="11" t="s">
        <v>184</v>
      </c>
      <c r="C174" s="2" t="s">
        <v>21</v>
      </c>
      <c r="D174" s="4">
        <v>0</v>
      </c>
      <c r="E174" s="6">
        <v>26</v>
      </c>
      <c r="F174" s="8">
        <v>77</v>
      </c>
      <c r="G174" s="10">
        <v>0</v>
      </c>
      <c r="H174" s="4">
        <v>46</v>
      </c>
      <c r="I174" s="6">
        <v>0</v>
      </c>
      <c r="J174" s="8">
        <v>0</v>
      </c>
      <c r="K174" s="10">
        <v>53</v>
      </c>
      <c r="L174" s="15">
        <f t="shared" si="17"/>
        <v>4</v>
      </c>
    </row>
    <row r="175" spans="1:12" ht="30" customHeight="1" x14ac:dyDescent="0.25">
      <c r="A175" s="11" t="s">
        <v>150</v>
      </c>
      <c r="B175" s="11" t="s">
        <v>185</v>
      </c>
      <c r="C175" s="2" t="s">
        <v>21</v>
      </c>
      <c r="D175" s="4">
        <v>0</v>
      </c>
      <c r="E175" s="6">
        <v>0</v>
      </c>
      <c r="F175" s="8">
        <v>0</v>
      </c>
      <c r="G175" s="10">
        <v>40</v>
      </c>
      <c r="H175" s="4">
        <v>65</v>
      </c>
      <c r="I175" s="6">
        <v>0</v>
      </c>
      <c r="J175" s="8">
        <v>0</v>
      </c>
      <c r="K175" s="10">
        <v>85</v>
      </c>
      <c r="L175" s="13">
        <f t="shared" si="17"/>
        <v>-110</v>
      </c>
    </row>
    <row r="176" spans="1:12" ht="30" customHeight="1" x14ac:dyDescent="0.25">
      <c r="A176" s="11" t="s">
        <v>150</v>
      </c>
      <c r="B176" s="11" t="s">
        <v>186</v>
      </c>
      <c r="C176" s="2" t="s">
        <v>21</v>
      </c>
      <c r="D176" s="4">
        <v>20</v>
      </c>
      <c r="E176" s="6">
        <v>0</v>
      </c>
      <c r="F176" s="8">
        <v>0</v>
      </c>
      <c r="G176" s="10">
        <v>0</v>
      </c>
      <c r="H176" s="4">
        <v>24</v>
      </c>
      <c r="I176" s="6">
        <v>0</v>
      </c>
      <c r="J176" s="8">
        <v>0</v>
      </c>
      <c r="K176" s="10">
        <v>48</v>
      </c>
      <c r="L176" s="13">
        <f t="shared" si="17"/>
        <v>-52</v>
      </c>
    </row>
    <row r="177" spans="1:12" ht="30" customHeight="1" x14ac:dyDescent="0.25">
      <c r="A177" s="11" t="s">
        <v>150</v>
      </c>
      <c r="B177" s="11" t="s">
        <v>187</v>
      </c>
      <c r="C177" s="2" t="s">
        <v>21</v>
      </c>
      <c r="D177" s="4">
        <v>0</v>
      </c>
      <c r="E177" s="6">
        <v>0</v>
      </c>
      <c r="F177" s="8">
        <v>0</v>
      </c>
      <c r="G177" s="10">
        <v>0</v>
      </c>
      <c r="H177" s="4">
        <v>17</v>
      </c>
      <c r="I177" s="6">
        <v>3</v>
      </c>
      <c r="J177" s="8">
        <v>0</v>
      </c>
      <c r="K177" s="10">
        <v>28</v>
      </c>
      <c r="L177" s="13">
        <f t="shared" si="17"/>
        <v>-48</v>
      </c>
    </row>
    <row r="178" spans="1:12" ht="30" customHeight="1" x14ac:dyDescent="0.25">
      <c r="A178" s="11" t="s">
        <v>150</v>
      </c>
      <c r="B178" s="14" t="s">
        <v>189</v>
      </c>
      <c r="C178" s="2" t="s">
        <v>21</v>
      </c>
      <c r="D178" s="4">
        <v>0</v>
      </c>
      <c r="E178" s="6">
        <v>19</v>
      </c>
      <c r="F178" s="8">
        <v>0</v>
      </c>
      <c r="G178" s="9">
        <f>55+8</f>
        <v>63</v>
      </c>
      <c r="H178" s="3">
        <f>16+1</f>
        <v>17</v>
      </c>
      <c r="I178" s="6">
        <v>5</v>
      </c>
      <c r="J178" s="8">
        <v>0</v>
      </c>
      <c r="K178" s="9">
        <f>29+4</f>
        <v>33</v>
      </c>
      <c r="L178" s="15">
        <f t="shared" si="17"/>
        <v>27</v>
      </c>
    </row>
    <row r="179" spans="1:12" ht="30" customHeight="1" x14ac:dyDescent="0.25">
      <c r="A179" s="11" t="s">
        <v>150</v>
      </c>
      <c r="B179" s="11" t="s">
        <v>188</v>
      </c>
      <c r="C179" s="2" t="s">
        <v>21</v>
      </c>
      <c r="D179" s="4">
        <v>0</v>
      </c>
      <c r="E179" s="6">
        <v>0</v>
      </c>
      <c r="F179" s="8">
        <v>0</v>
      </c>
      <c r="G179" s="10">
        <v>35</v>
      </c>
      <c r="H179" s="4">
        <v>45</v>
      </c>
      <c r="I179" s="6">
        <v>0</v>
      </c>
      <c r="J179" s="8">
        <v>0</v>
      </c>
      <c r="K179" s="10">
        <v>90</v>
      </c>
      <c r="L179" s="13">
        <f t="shared" si="17"/>
        <v>-100</v>
      </c>
    </row>
    <row r="180" spans="1:12" ht="30" customHeight="1" x14ac:dyDescent="0.25">
      <c r="A180" s="11" t="s">
        <v>150</v>
      </c>
      <c r="B180" s="11" t="s">
        <v>190</v>
      </c>
      <c r="C180" s="2" t="s">
        <v>196</v>
      </c>
      <c r="D180" s="4">
        <v>43</v>
      </c>
      <c r="E180" s="6">
        <v>0</v>
      </c>
      <c r="F180" s="8">
        <v>0</v>
      </c>
      <c r="G180" s="10">
        <v>0</v>
      </c>
      <c r="H180" s="4">
        <v>27</v>
      </c>
      <c r="I180" s="6">
        <v>0</v>
      </c>
      <c r="J180" s="8">
        <v>0</v>
      </c>
      <c r="K180" s="10">
        <v>16</v>
      </c>
      <c r="L180" s="15">
        <f t="shared" si="17"/>
        <v>0</v>
      </c>
    </row>
    <row r="181" spans="1:12" ht="30" customHeight="1" x14ac:dyDescent="0.25">
      <c r="A181" s="11" t="s">
        <v>150</v>
      </c>
      <c r="B181" s="11" t="s">
        <v>191</v>
      </c>
      <c r="C181" s="2" t="s">
        <v>196</v>
      </c>
      <c r="D181" s="4">
        <v>0</v>
      </c>
      <c r="E181" s="6">
        <v>0</v>
      </c>
      <c r="F181" s="8">
        <v>0</v>
      </c>
      <c r="G181" s="10">
        <v>124</v>
      </c>
      <c r="H181" s="4">
        <v>33</v>
      </c>
      <c r="I181" s="6">
        <v>0</v>
      </c>
      <c r="J181" s="8">
        <v>0</v>
      </c>
      <c r="K181" s="10">
        <v>64</v>
      </c>
      <c r="L181" s="15">
        <f t="shared" si="17"/>
        <v>27</v>
      </c>
    </row>
    <row r="182" spans="1:12" ht="30" customHeight="1" x14ac:dyDescent="0.25">
      <c r="A182" s="11" t="s">
        <v>150</v>
      </c>
      <c r="B182" s="11" t="s">
        <v>192</v>
      </c>
      <c r="C182" s="2" t="s">
        <v>196</v>
      </c>
      <c r="D182" s="4">
        <v>0</v>
      </c>
      <c r="E182" s="6">
        <v>0</v>
      </c>
      <c r="F182" s="8">
        <v>0</v>
      </c>
      <c r="G182" s="10">
        <v>58</v>
      </c>
      <c r="H182" s="4">
        <v>15</v>
      </c>
      <c r="I182" s="6">
        <v>0</v>
      </c>
      <c r="J182" s="8">
        <v>0</v>
      </c>
      <c r="K182" s="10">
        <v>47</v>
      </c>
      <c r="L182" s="13">
        <f t="shared" si="17"/>
        <v>-4</v>
      </c>
    </row>
    <row r="183" spans="1:12" ht="30" customHeight="1" x14ac:dyDescent="0.25">
      <c r="A183" s="11" t="s">
        <v>150</v>
      </c>
      <c r="B183" s="11" t="s">
        <v>193</v>
      </c>
      <c r="C183" s="2" t="s">
        <v>196</v>
      </c>
      <c r="D183" s="4">
        <v>0</v>
      </c>
      <c r="E183" s="6">
        <v>0</v>
      </c>
      <c r="F183" s="8">
        <v>0</v>
      </c>
      <c r="G183" s="10">
        <v>20</v>
      </c>
      <c r="H183" s="4">
        <v>10</v>
      </c>
      <c r="I183" s="6">
        <v>0</v>
      </c>
      <c r="J183" s="8">
        <v>0</v>
      </c>
      <c r="K183" s="10">
        <v>27</v>
      </c>
      <c r="L183" s="13">
        <f t="shared" si="17"/>
        <v>-17</v>
      </c>
    </row>
    <row r="184" spans="1:12" ht="30" customHeight="1" x14ac:dyDescent="0.25">
      <c r="A184" s="11" t="s">
        <v>150</v>
      </c>
      <c r="B184" s="11" t="s">
        <v>194</v>
      </c>
      <c r="C184" s="2" t="s">
        <v>196</v>
      </c>
      <c r="D184" s="4">
        <v>180</v>
      </c>
      <c r="E184" s="6">
        <v>0</v>
      </c>
      <c r="F184" s="8">
        <v>0</v>
      </c>
      <c r="G184" s="10">
        <v>0</v>
      </c>
      <c r="H184" s="4">
        <v>75</v>
      </c>
      <c r="I184" s="6">
        <v>0</v>
      </c>
      <c r="J184" s="8">
        <v>0</v>
      </c>
      <c r="K184" s="10">
        <v>99</v>
      </c>
      <c r="L184" s="15">
        <f t="shared" si="17"/>
        <v>6</v>
      </c>
    </row>
    <row r="185" spans="1:12" ht="30" customHeight="1" x14ac:dyDescent="0.25">
      <c r="A185" s="11" t="s">
        <v>150</v>
      </c>
      <c r="B185" s="11" t="s">
        <v>195</v>
      </c>
      <c r="C185" s="2" t="s">
        <v>196</v>
      </c>
      <c r="D185" s="4">
        <v>11</v>
      </c>
      <c r="E185" s="6">
        <v>0</v>
      </c>
      <c r="F185" s="8">
        <v>0</v>
      </c>
      <c r="G185" s="10">
        <v>38</v>
      </c>
      <c r="H185" s="4">
        <v>11</v>
      </c>
      <c r="I185" s="6">
        <v>0</v>
      </c>
      <c r="J185" s="8">
        <v>0</v>
      </c>
      <c r="K185" s="10">
        <v>38</v>
      </c>
      <c r="L185" s="15">
        <f t="shared" si="17"/>
        <v>0</v>
      </c>
    </row>
    <row r="186" spans="1:12" ht="30" customHeight="1" x14ac:dyDescent="0.25">
      <c r="A186" s="11" t="s">
        <v>150</v>
      </c>
      <c r="B186" s="11" t="s">
        <v>197</v>
      </c>
      <c r="C186" s="2" t="s">
        <v>149</v>
      </c>
      <c r="D186" s="4">
        <f>0+0</f>
        <v>0</v>
      </c>
      <c r="E186" s="6">
        <f>0+0</f>
        <v>0</v>
      </c>
      <c r="F186" s="8">
        <f>0+0</f>
        <v>0</v>
      </c>
      <c r="G186" s="10">
        <f>10+4</f>
        <v>14</v>
      </c>
      <c r="H186" s="4">
        <f>8+1</f>
        <v>9</v>
      </c>
      <c r="I186" s="6">
        <f>0+0</f>
        <v>0</v>
      </c>
      <c r="J186" s="8">
        <f>0+0</f>
        <v>0</v>
      </c>
      <c r="K186" s="10">
        <f>39+5</f>
        <v>44</v>
      </c>
      <c r="L186" s="13">
        <f t="shared" si="17"/>
        <v>-39</v>
      </c>
    </row>
    <row r="187" spans="1:12" ht="30" customHeight="1" x14ac:dyDescent="0.25">
      <c r="A187" s="11" t="s">
        <v>150</v>
      </c>
      <c r="B187" s="11" t="s">
        <v>198</v>
      </c>
      <c r="C187" s="2" t="s">
        <v>149</v>
      </c>
      <c r="D187" s="4">
        <f>60+8</f>
        <v>68</v>
      </c>
      <c r="E187" s="6">
        <f>10+5</f>
        <v>15</v>
      </c>
      <c r="F187" s="8">
        <f t="shared" ref="F187:F194" si="18">0+0</f>
        <v>0</v>
      </c>
      <c r="G187" s="10">
        <f>0+0</f>
        <v>0</v>
      </c>
      <c r="H187" s="4">
        <f>314+37</f>
        <v>351</v>
      </c>
      <c r="I187" s="6">
        <f>100+22</f>
        <v>122</v>
      </c>
      <c r="J187" s="8">
        <f t="shared" ref="J187:J188" si="19">0+0</f>
        <v>0</v>
      </c>
      <c r="K187" s="10">
        <f>1187+101</f>
        <v>1288</v>
      </c>
      <c r="L187" s="13">
        <f t="shared" si="17"/>
        <v>-1678</v>
      </c>
    </row>
    <row r="188" spans="1:12" ht="30" customHeight="1" x14ac:dyDescent="0.25">
      <c r="A188" s="11" t="s">
        <v>150</v>
      </c>
      <c r="B188" s="11" t="s">
        <v>199</v>
      </c>
      <c r="C188" s="2" t="s">
        <v>149</v>
      </c>
      <c r="D188" s="4">
        <f>0+0</f>
        <v>0</v>
      </c>
      <c r="E188" s="6">
        <f>0+0</f>
        <v>0</v>
      </c>
      <c r="F188" s="8">
        <f t="shared" si="18"/>
        <v>0</v>
      </c>
      <c r="G188" s="10">
        <f>41+8</f>
        <v>49</v>
      </c>
      <c r="H188" s="4">
        <f>20+0</f>
        <v>20</v>
      </c>
      <c r="I188" s="6">
        <f>0+0</f>
        <v>0</v>
      </c>
      <c r="J188" s="8">
        <f t="shared" si="19"/>
        <v>0</v>
      </c>
      <c r="K188" s="10">
        <f>36+0</f>
        <v>36</v>
      </c>
      <c r="L188" s="13">
        <f t="shared" si="17"/>
        <v>-7</v>
      </c>
    </row>
    <row r="189" spans="1:12" ht="30" customHeight="1" x14ac:dyDescent="0.25">
      <c r="A189" s="11" t="s">
        <v>150</v>
      </c>
      <c r="B189" s="11" t="s">
        <v>200</v>
      </c>
      <c r="C189" s="2" t="s">
        <v>149</v>
      </c>
      <c r="D189" s="4">
        <f>0+0</f>
        <v>0</v>
      </c>
      <c r="E189" s="6">
        <f t="shared" ref="E189:E191" si="20">0+0</f>
        <v>0</v>
      </c>
      <c r="F189" s="8">
        <f t="shared" si="18"/>
        <v>0</v>
      </c>
      <c r="G189" s="10">
        <f>15+4</f>
        <v>19</v>
      </c>
      <c r="H189" s="4">
        <f>13+1</f>
        <v>14</v>
      </c>
      <c r="I189" s="6">
        <f>10+2</f>
        <v>12</v>
      </c>
      <c r="J189" s="8">
        <f>1+0</f>
        <v>1</v>
      </c>
      <c r="K189" s="10">
        <f>43+5</f>
        <v>48</v>
      </c>
      <c r="L189" s="13">
        <f t="shared" si="17"/>
        <v>-56</v>
      </c>
    </row>
    <row r="190" spans="1:12" ht="30" customHeight="1" x14ac:dyDescent="0.25">
      <c r="A190" s="11" t="s">
        <v>150</v>
      </c>
      <c r="B190" s="11" t="s">
        <v>201</v>
      </c>
      <c r="C190" s="2" t="s">
        <v>149</v>
      </c>
      <c r="D190" s="4">
        <f>0+0</f>
        <v>0</v>
      </c>
      <c r="E190" s="6">
        <f t="shared" si="20"/>
        <v>0</v>
      </c>
      <c r="F190" s="8">
        <f t="shared" si="18"/>
        <v>0</v>
      </c>
      <c r="G190" s="10">
        <f>60+12</f>
        <v>72</v>
      </c>
      <c r="H190" s="4">
        <f>18+2</f>
        <v>20</v>
      </c>
      <c r="I190" s="6">
        <f>0+0</f>
        <v>0</v>
      </c>
      <c r="J190" s="8">
        <f>0+0</f>
        <v>0</v>
      </c>
      <c r="K190" s="10">
        <f>112+8</f>
        <v>120</v>
      </c>
      <c r="L190" s="13">
        <f t="shared" si="17"/>
        <v>-68</v>
      </c>
    </row>
    <row r="191" spans="1:12" ht="30" customHeight="1" x14ac:dyDescent="0.25">
      <c r="A191" s="11" t="s">
        <v>150</v>
      </c>
      <c r="B191" s="11" t="s">
        <v>202</v>
      </c>
      <c r="C191" s="2" t="s">
        <v>149</v>
      </c>
      <c r="D191" s="4">
        <f>9+0</f>
        <v>9</v>
      </c>
      <c r="E191" s="6">
        <f t="shared" si="20"/>
        <v>0</v>
      </c>
      <c r="F191" s="8">
        <f t="shared" si="18"/>
        <v>0</v>
      </c>
      <c r="G191" s="10">
        <f>59+0</f>
        <v>59</v>
      </c>
      <c r="H191" s="4">
        <f>32+0</f>
        <v>32</v>
      </c>
      <c r="I191" s="6">
        <f>0+0</f>
        <v>0</v>
      </c>
      <c r="J191" s="8">
        <f>0+0</f>
        <v>0</v>
      </c>
      <c r="K191" s="10">
        <f>0+0</f>
        <v>0</v>
      </c>
      <c r="L191" s="15">
        <f t="shared" si="17"/>
        <v>36</v>
      </c>
    </row>
    <row r="192" spans="1:12" ht="30" customHeight="1" x14ac:dyDescent="0.25">
      <c r="A192" s="11" t="s">
        <v>150</v>
      </c>
      <c r="B192" s="11" t="s">
        <v>203</v>
      </c>
      <c r="C192" s="2" t="s">
        <v>149</v>
      </c>
      <c r="D192" s="4">
        <f>20+5</f>
        <v>25</v>
      </c>
      <c r="E192" s="6">
        <f>5+0</f>
        <v>5</v>
      </c>
      <c r="F192" s="8">
        <f t="shared" si="18"/>
        <v>0</v>
      </c>
      <c r="G192" s="10">
        <f>14+5</f>
        <v>19</v>
      </c>
      <c r="H192" s="4">
        <f>10+1</f>
        <v>11</v>
      </c>
      <c r="I192" s="6">
        <f>7+1</f>
        <v>8</v>
      </c>
      <c r="J192" s="8">
        <f>1+0</f>
        <v>1</v>
      </c>
      <c r="K192" s="10">
        <f>13+1</f>
        <v>14</v>
      </c>
      <c r="L192" s="15">
        <f t="shared" si="17"/>
        <v>15</v>
      </c>
    </row>
    <row r="193" spans="1:12" ht="30" customHeight="1" x14ac:dyDescent="0.25">
      <c r="A193" s="11" t="s">
        <v>150</v>
      </c>
      <c r="B193" s="11" t="s">
        <v>204</v>
      </c>
      <c r="C193" s="2" t="s">
        <v>149</v>
      </c>
      <c r="D193" s="4">
        <f>0+0</f>
        <v>0</v>
      </c>
      <c r="E193" s="6">
        <f>0+0</f>
        <v>0</v>
      </c>
      <c r="F193" s="8">
        <f t="shared" si="18"/>
        <v>0</v>
      </c>
      <c r="G193" s="10">
        <f>24+0</f>
        <v>24</v>
      </c>
      <c r="H193" s="4">
        <f>12+0</f>
        <v>12</v>
      </c>
      <c r="I193" s="6">
        <f>4+0</f>
        <v>4</v>
      </c>
      <c r="J193" s="8">
        <f>0+0</f>
        <v>0</v>
      </c>
      <c r="K193" s="10">
        <f>17+0</f>
        <v>17</v>
      </c>
      <c r="L193" s="13">
        <f t="shared" si="17"/>
        <v>-9</v>
      </c>
    </row>
    <row r="194" spans="1:12" ht="30" customHeight="1" x14ac:dyDescent="0.25">
      <c r="A194" s="11" t="s">
        <v>150</v>
      </c>
      <c r="B194" s="11" t="s">
        <v>205</v>
      </c>
      <c r="C194" s="2" t="s">
        <v>149</v>
      </c>
      <c r="D194" s="4">
        <f>55+0</f>
        <v>55</v>
      </c>
      <c r="E194" s="6">
        <f>0+0</f>
        <v>0</v>
      </c>
      <c r="F194" s="8">
        <f t="shared" si="18"/>
        <v>0</v>
      </c>
      <c r="G194" s="10">
        <f>0+0</f>
        <v>0</v>
      </c>
      <c r="H194" s="4">
        <f>24+0</f>
        <v>24</v>
      </c>
      <c r="I194" s="6">
        <f>0+0</f>
        <v>0</v>
      </c>
      <c r="J194" s="8">
        <f>0+0</f>
        <v>0</v>
      </c>
      <c r="K194" s="10">
        <f>44+0</f>
        <v>44</v>
      </c>
      <c r="L194" s="13">
        <f t="shared" si="17"/>
        <v>-13</v>
      </c>
    </row>
    <row r="195" spans="1:12" ht="40.5" customHeight="1" x14ac:dyDescent="0.25">
      <c r="A195" s="11" t="s">
        <v>206</v>
      </c>
      <c r="B195" s="11" t="s">
        <v>207</v>
      </c>
      <c r="C195" s="2" t="s">
        <v>21</v>
      </c>
      <c r="D195" s="4">
        <v>0</v>
      </c>
      <c r="E195" s="6">
        <v>237</v>
      </c>
      <c r="F195" s="8">
        <v>0</v>
      </c>
      <c r="G195" s="10">
        <v>0</v>
      </c>
      <c r="H195" s="4">
        <v>0</v>
      </c>
      <c r="I195" s="6">
        <v>113</v>
      </c>
      <c r="J195" s="8">
        <v>0</v>
      </c>
      <c r="K195" s="10">
        <v>0</v>
      </c>
      <c r="L195" s="15">
        <f t="shared" si="17"/>
        <v>124</v>
      </c>
    </row>
    <row r="196" spans="1:12" ht="30" customHeight="1" x14ac:dyDescent="0.25">
      <c r="A196" s="11" t="s">
        <v>206</v>
      </c>
      <c r="B196" s="11" t="s">
        <v>208</v>
      </c>
      <c r="C196" s="2" t="s">
        <v>21</v>
      </c>
      <c r="D196" s="4">
        <v>268</v>
      </c>
      <c r="E196" s="6">
        <v>0</v>
      </c>
      <c r="F196" s="8">
        <v>0</v>
      </c>
      <c r="G196" s="10">
        <v>0</v>
      </c>
      <c r="H196" s="4">
        <v>1080</v>
      </c>
      <c r="I196" s="6">
        <v>0</v>
      </c>
      <c r="J196" s="8">
        <v>0</v>
      </c>
      <c r="K196" s="10">
        <v>142</v>
      </c>
      <c r="L196" s="13">
        <f t="shared" si="17"/>
        <v>-954</v>
      </c>
    </row>
    <row r="197" spans="1:12" ht="30" customHeight="1" x14ac:dyDescent="0.25">
      <c r="A197" s="11" t="s">
        <v>206</v>
      </c>
      <c r="B197" s="11" t="s">
        <v>209</v>
      </c>
      <c r="C197" s="2" t="s">
        <v>21</v>
      </c>
      <c r="D197" s="4">
        <v>246</v>
      </c>
      <c r="E197" s="6">
        <v>0</v>
      </c>
      <c r="F197" s="8">
        <v>0</v>
      </c>
      <c r="G197" s="10">
        <v>0</v>
      </c>
      <c r="H197" s="4">
        <v>331</v>
      </c>
      <c r="I197" s="6">
        <v>0</v>
      </c>
      <c r="J197" s="8">
        <v>0</v>
      </c>
      <c r="K197" s="10">
        <v>176</v>
      </c>
      <c r="L197" s="13">
        <f t="shared" si="17"/>
        <v>-261</v>
      </c>
    </row>
    <row r="198" spans="1:12" ht="30" customHeight="1" x14ac:dyDescent="0.25">
      <c r="A198" s="11" t="s">
        <v>206</v>
      </c>
      <c r="B198" s="11" t="s">
        <v>210</v>
      </c>
      <c r="C198" s="2" t="s">
        <v>21</v>
      </c>
      <c r="D198" s="4">
        <v>229</v>
      </c>
      <c r="E198" s="6">
        <v>0</v>
      </c>
      <c r="F198" s="8">
        <v>0</v>
      </c>
      <c r="G198" s="10">
        <v>19</v>
      </c>
      <c r="H198" s="4">
        <v>278</v>
      </c>
      <c r="I198" s="6">
        <v>0</v>
      </c>
      <c r="J198" s="8">
        <v>0</v>
      </c>
      <c r="K198" s="10">
        <v>300</v>
      </c>
      <c r="L198" s="13">
        <f t="shared" si="17"/>
        <v>-330</v>
      </c>
    </row>
    <row r="199" spans="1:12" ht="30" customHeight="1" x14ac:dyDescent="0.25">
      <c r="A199" s="11" t="s">
        <v>206</v>
      </c>
      <c r="B199" s="11" t="s">
        <v>211</v>
      </c>
      <c r="C199" s="2" t="s">
        <v>21</v>
      </c>
      <c r="D199" s="4">
        <v>0</v>
      </c>
      <c r="E199" s="6">
        <v>0</v>
      </c>
      <c r="F199" s="8">
        <v>0</v>
      </c>
      <c r="G199" s="10">
        <v>176</v>
      </c>
      <c r="H199" s="4">
        <v>26</v>
      </c>
      <c r="I199" s="6">
        <v>0</v>
      </c>
      <c r="J199" s="8">
        <v>0</v>
      </c>
      <c r="K199" s="10">
        <v>515</v>
      </c>
      <c r="L199" s="13">
        <f t="shared" si="17"/>
        <v>-365</v>
      </c>
    </row>
    <row r="200" spans="1:12" ht="30" customHeight="1" x14ac:dyDescent="0.25">
      <c r="A200" s="11" t="s">
        <v>206</v>
      </c>
      <c r="B200" s="11" t="s">
        <v>212</v>
      </c>
      <c r="C200" s="2" t="s">
        <v>21</v>
      </c>
      <c r="D200" s="4">
        <v>80</v>
      </c>
      <c r="E200" s="6">
        <v>0</v>
      </c>
      <c r="F200" s="8">
        <v>0</v>
      </c>
      <c r="G200" s="10">
        <v>0</v>
      </c>
      <c r="H200" s="4">
        <v>128</v>
      </c>
      <c r="I200" s="6">
        <v>0</v>
      </c>
      <c r="J200" s="8">
        <v>0</v>
      </c>
      <c r="K200" s="10">
        <v>30</v>
      </c>
      <c r="L200" s="13">
        <f t="shared" si="17"/>
        <v>-78</v>
      </c>
    </row>
    <row r="201" spans="1:12" ht="30" customHeight="1" x14ac:dyDescent="0.25">
      <c r="A201" s="11" t="s">
        <v>206</v>
      </c>
      <c r="B201" s="11" t="s">
        <v>213</v>
      </c>
      <c r="C201" s="2" t="s">
        <v>21</v>
      </c>
      <c r="D201" s="4">
        <v>24</v>
      </c>
      <c r="E201" s="6">
        <v>10</v>
      </c>
      <c r="F201" s="8">
        <v>5</v>
      </c>
      <c r="G201" s="10">
        <v>0</v>
      </c>
      <c r="H201" s="4">
        <v>47</v>
      </c>
      <c r="I201" s="6">
        <v>28</v>
      </c>
      <c r="J201" s="8">
        <v>6</v>
      </c>
      <c r="K201" s="10">
        <v>38</v>
      </c>
      <c r="L201" s="13">
        <f t="shared" si="17"/>
        <v>-80</v>
      </c>
    </row>
    <row r="202" spans="1:12" ht="30" customHeight="1" x14ac:dyDescent="0.25">
      <c r="A202" s="11" t="s">
        <v>206</v>
      </c>
      <c r="B202" s="11" t="s">
        <v>214</v>
      </c>
      <c r="C202" s="2" t="s">
        <v>21</v>
      </c>
      <c r="D202" s="4">
        <v>208</v>
      </c>
      <c r="E202" s="6">
        <v>0</v>
      </c>
      <c r="F202" s="8">
        <v>0</v>
      </c>
      <c r="G202" s="10">
        <v>0</v>
      </c>
      <c r="H202" s="4">
        <v>97</v>
      </c>
      <c r="I202" s="6">
        <v>0</v>
      </c>
      <c r="J202" s="8">
        <v>0</v>
      </c>
      <c r="K202" s="10">
        <v>10</v>
      </c>
      <c r="L202" s="15">
        <f t="shared" si="17"/>
        <v>101</v>
      </c>
    </row>
    <row r="203" spans="1:12" ht="50.25" customHeight="1" x14ac:dyDescent="0.25">
      <c r="A203" s="11" t="s">
        <v>206</v>
      </c>
      <c r="B203" s="11" t="s">
        <v>215</v>
      </c>
      <c r="C203" s="2" t="s">
        <v>21</v>
      </c>
      <c r="D203" s="4">
        <v>0</v>
      </c>
      <c r="E203" s="6">
        <v>100</v>
      </c>
      <c r="F203" s="8">
        <v>0</v>
      </c>
      <c r="G203" s="10">
        <v>0</v>
      </c>
      <c r="H203" s="4">
        <v>0</v>
      </c>
      <c r="I203" s="6">
        <v>111</v>
      </c>
      <c r="J203" s="8">
        <v>0</v>
      </c>
      <c r="K203" s="10">
        <v>0</v>
      </c>
      <c r="L203" s="13">
        <f t="shared" si="17"/>
        <v>-11</v>
      </c>
    </row>
    <row r="204" spans="1:12" ht="30" customHeight="1" x14ac:dyDescent="0.25">
      <c r="A204" s="11" t="s">
        <v>206</v>
      </c>
      <c r="B204" s="11" t="s">
        <v>216</v>
      </c>
      <c r="C204" s="2" t="s">
        <v>21</v>
      </c>
      <c r="D204" s="4">
        <v>37</v>
      </c>
      <c r="E204" s="6">
        <v>0</v>
      </c>
      <c r="F204" s="8">
        <v>0</v>
      </c>
      <c r="G204" s="10">
        <v>30</v>
      </c>
      <c r="H204" s="4">
        <v>37</v>
      </c>
      <c r="I204" s="6">
        <v>0</v>
      </c>
      <c r="J204" s="8">
        <v>0</v>
      </c>
      <c r="K204" s="10">
        <v>30</v>
      </c>
      <c r="L204" s="15">
        <f t="shared" si="17"/>
        <v>0</v>
      </c>
    </row>
    <row r="205" spans="1:12" ht="41.25" customHeight="1" x14ac:dyDescent="0.25">
      <c r="A205" s="11" t="s">
        <v>206</v>
      </c>
      <c r="B205" s="11" t="s">
        <v>217</v>
      </c>
      <c r="C205" s="2" t="s">
        <v>21</v>
      </c>
      <c r="D205" s="4">
        <v>0</v>
      </c>
      <c r="E205" s="6">
        <v>117</v>
      </c>
      <c r="F205" s="8">
        <v>0</v>
      </c>
      <c r="G205" s="10">
        <v>0</v>
      </c>
      <c r="H205" s="4">
        <v>0</v>
      </c>
      <c r="I205" s="6">
        <v>83</v>
      </c>
      <c r="J205" s="8">
        <v>28</v>
      </c>
      <c r="K205" s="10">
        <v>0</v>
      </c>
      <c r="L205" s="15">
        <f t="shared" si="17"/>
        <v>6</v>
      </c>
    </row>
    <row r="206" spans="1:12" ht="30" customHeight="1" x14ac:dyDescent="0.25">
      <c r="A206" s="11" t="s">
        <v>206</v>
      </c>
      <c r="B206" s="11" t="s">
        <v>218</v>
      </c>
      <c r="C206" s="2" t="s">
        <v>21</v>
      </c>
      <c r="D206" s="4">
        <v>0</v>
      </c>
      <c r="E206" s="6">
        <v>39</v>
      </c>
      <c r="F206" s="8">
        <v>0</v>
      </c>
      <c r="G206" s="10">
        <v>0</v>
      </c>
      <c r="H206" s="4">
        <v>0</v>
      </c>
      <c r="I206" s="6">
        <v>39</v>
      </c>
      <c r="J206" s="8">
        <v>0</v>
      </c>
      <c r="K206" s="10">
        <v>0</v>
      </c>
      <c r="L206" s="15">
        <f t="shared" si="17"/>
        <v>0</v>
      </c>
    </row>
    <row r="207" spans="1:12" ht="37.5" customHeight="1" x14ac:dyDescent="0.25">
      <c r="A207" s="11" t="s">
        <v>206</v>
      </c>
      <c r="B207" s="11" t="s">
        <v>219</v>
      </c>
      <c r="C207" s="2" t="s">
        <v>21</v>
      </c>
      <c r="D207" s="4">
        <v>0</v>
      </c>
      <c r="E207" s="6">
        <v>0</v>
      </c>
      <c r="F207" s="8">
        <v>368</v>
      </c>
      <c r="G207" s="10">
        <v>0</v>
      </c>
      <c r="H207" s="4">
        <v>0</v>
      </c>
      <c r="I207" s="6">
        <v>0</v>
      </c>
      <c r="J207" s="8">
        <v>405</v>
      </c>
      <c r="K207" s="10">
        <v>0</v>
      </c>
      <c r="L207" s="13">
        <f t="shared" si="17"/>
        <v>-37</v>
      </c>
    </row>
    <row r="208" spans="1:12" ht="42.75" customHeight="1" x14ac:dyDescent="0.25">
      <c r="A208" s="11" t="s">
        <v>206</v>
      </c>
      <c r="B208" s="11" t="s">
        <v>220</v>
      </c>
      <c r="C208" s="2" t="s">
        <v>21</v>
      </c>
      <c r="D208" s="4">
        <v>0</v>
      </c>
      <c r="E208" s="6">
        <v>44</v>
      </c>
      <c r="F208" s="8">
        <v>0</v>
      </c>
      <c r="G208" s="10">
        <v>0</v>
      </c>
      <c r="H208" s="4">
        <v>0</v>
      </c>
      <c r="I208" s="6">
        <v>49</v>
      </c>
      <c r="J208" s="8">
        <v>0</v>
      </c>
      <c r="K208" s="10">
        <v>0</v>
      </c>
      <c r="L208" s="13">
        <f t="shared" si="17"/>
        <v>-5</v>
      </c>
    </row>
    <row r="209" spans="1:12" ht="30" customHeight="1" x14ac:dyDescent="0.25">
      <c r="A209" s="11" t="s">
        <v>206</v>
      </c>
      <c r="B209" s="14" t="s">
        <v>238</v>
      </c>
      <c r="C209" s="2" t="s">
        <v>21</v>
      </c>
      <c r="D209" s="3">
        <f>30+2</f>
        <v>32</v>
      </c>
      <c r="E209" s="6">
        <v>16</v>
      </c>
      <c r="F209" s="8">
        <v>12</v>
      </c>
      <c r="G209" s="10">
        <v>0</v>
      </c>
      <c r="H209" s="4">
        <v>17</v>
      </c>
      <c r="I209" s="6">
        <v>3</v>
      </c>
      <c r="J209" s="8">
        <v>2</v>
      </c>
      <c r="K209" s="10">
        <v>0</v>
      </c>
      <c r="L209" s="15">
        <f t="shared" si="17"/>
        <v>38</v>
      </c>
    </row>
    <row r="210" spans="1:12" ht="42.75" customHeight="1" x14ac:dyDescent="0.25">
      <c r="A210" s="11" t="s">
        <v>206</v>
      </c>
      <c r="B210" s="11" t="s">
        <v>221</v>
      </c>
      <c r="C210" s="2" t="s">
        <v>21</v>
      </c>
      <c r="D210" s="4">
        <v>0</v>
      </c>
      <c r="E210" s="6">
        <v>40</v>
      </c>
      <c r="F210" s="8">
        <v>0</v>
      </c>
      <c r="G210" s="10">
        <v>0</v>
      </c>
      <c r="H210" s="4">
        <v>0</v>
      </c>
      <c r="I210" s="6">
        <v>42</v>
      </c>
      <c r="J210" s="8">
        <v>0</v>
      </c>
      <c r="K210" s="10">
        <v>0</v>
      </c>
      <c r="L210" s="13">
        <f t="shared" si="17"/>
        <v>-2</v>
      </c>
    </row>
    <row r="211" spans="1:12" ht="30" customHeight="1" x14ac:dyDescent="0.25">
      <c r="A211" s="11" t="s">
        <v>206</v>
      </c>
      <c r="B211" s="11" t="s">
        <v>222</v>
      </c>
      <c r="C211" s="2" t="s">
        <v>21</v>
      </c>
      <c r="D211" s="4">
        <v>238</v>
      </c>
      <c r="E211" s="6">
        <v>0</v>
      </c>
      <c r="F211" s="8">
        <v>0</v>
      </c>
      <c r="G211" s="10">
        <v>0</v>
      </c>
      <c r="H211" s="4">
        <v>468</v>
      </c>
      <c r="I211" s="6">
        <v>0</v>
      </c>
      <c r="J211" s="8">
        <v>0</v>
      </c>
      <c r="K211" s="10">
        <v>0</v>
      </c>
      <c r="L211" s="13">
        <f t="shared" si="17"/>
        <v>-230</v>
      </c>
    </row>
    <row r="212" spans="1:12" ht="30" customHeight="1" x14ac:dyDescent="0.25">
      <c r="A212" s="11" t="s">
        <v>206</v>
      </c>
      <c r="B212" s="11" t="s">
        <v>223</v>
      </c>
      <c r="C212" s="2" t="s">
        <v>21</v>
      </c>
      <c r="D212" s="4">
        <v>116</v>
      </c>
      <c r="E212" s="6">
        <v>0</v>
      </c>
      <c r="F212" s="8">
        <v>0</v>
      </c>
      <c r="G212" s="10">
        <v>0</v>
      </c>
      <c r="H212" s="4">
        <v>307</v>
      </c>
      <c r="I212" s="6">
        <v>0</v>
      </c>
      <c r="J212" s="8">
        <v>0</v>
      </c>
      <c r="K212" s="10">
        <v>0</v>
      </c>
      <c r="L212" s="13">
        <f t="shared" si="17"/>
        <v>-191</v>
      </c>
    </row>
    <row r="213" spans="1:12" ht="30" customHeight="1" x14ac:dyDescent="0.25">
      <c r="A213" s="11" t="s">
        <v>206</v>
      </c>
      <c r="B213" s="11" t="s">
        <v>224</v>
      </c>
      <c r="C213" s="2" t="s">
        <v>21</v>
      </c>
      <c r="D213" s="4">
        <v>86</v>
      </c>
      <c r="E213" s="6">
        <v>0</v>
      </c>
      <c r="F213" s="8">
        <v>0</v>
      </c>
      <c r="G213" s="10">
        <v>0</v>
      </c>
      <c r="H213" s="4">
        <v>112</v>
      </c>
      <c r="I213" s="6">
        <v>0</v>
      </c>
      <c r="J213" s="8">
        <v>0</v>
      </c>
      <c r="K213" s="10">
        <v>51</v>
      </c>
      <c r="L213" s="13">
        <f t="shared" si="17"/>
        <v>-77</v>
      </c>
    </row>
    <row r="214" spans="1:12" ht="30" customHeight="1" x14ac:dyDescent="0.25">
      <c r="A214" s="11" t="s">
        <v>206</v>
      </c>
      <c r="B214" s="11" t="s">
        <v>225</v>
      </c>
      <c r="C214" s="2" t="s">
        <v>21</v>
      </c>
      <c r="D214" s="4">
        <v>124</v>
      </c>
      <c r="E214" s="6">
        <v>0</v>
      </c>
      <c r="F214" s="8">
        <v>0</v>
      </c>
      <c r="G214" s="10">
        <v>0</v>
      </c>
      <c r="H214" s="4">
        <v>76</v>
      </c>
      <c r="I214" s="6">
        <v>0</v>
      </c>
      <c r="J214" s="8">
        <v>0</v>
      </c>
      <c r="K214" s="10">
        <v>49</v>
      </c>
      <c r="L214" s="13">
        <f t="shared" si="17"/>
        <v>-1</v>
      </c>
    </row>
    <row r="215" spans="1:12" ht="30" customHeight="1" x14ac:dyDescent="0.25">
      <c r="A215" s="11" t="s">
        <v>206</v>
      </c>
      <c r="B215" s="11" t="s">
        <v>226</v>
      </c>
      <c r="C215" s="2" t="s">
        <v>21</v>
      </c>
      <c r="D215" s="4">
        <v>558</v>
      </c>
      <c r="E215" s="6">
        <v>0</v>
      </c>
      <c r="F215" s="8">
        <v>0</v>
      </c>
      <c r="G215" s="10">
        <v>180</v>
      </c>
      <c r="H215" s="4">
        <v>1526</v>
      </c>
      <c r="I215" s="6">
        <v>0</v>
      </c>
      <c r="J215" s="8">
        <v>0</v>
      </c>
      <c r="K215" s="10">
        <v>667</v>
      </c>
      <c r="L215" s="13">
        <f t="shared" si="17"/>
        <v>-1455</v>
      </c>
    </row>
    <row r="216" spans="1:12" ht="30" customHeight="1" x14ac:dyDescent="0.25">
      <c r="A216" s="11" t="s">
        <v>206</v>
      </c>
      <c r="B216" s="11" t="s">
        <v>227</v>
      </c>
      <c r="C216" s="2" t="s">
        <v>21</v>
      </c>
      <c r="D216" s="4">
        <v>24</v>
      </c>
      <c r="E216" s="6">
        <v>0</v>
      </c>
      <c r="F216" s="8">
        <v>0</v>
      </c>
      <c r="G216" s="10">
        <v>0</v>
      </c>
      <c r="H216" s="4">
        <v>103</v>
      </c>
      <c r="I216" s="6">
        <v>0</v>
      </c>
      <c r="J216" s="8">
        <v>0</v>
      </c>
      <c r="K216" s="10">
        <v>0</v>
      </c>
      <c r="L216" s="13">
        <f t="shared" si="17"/>
        <v>-79</v>
      </c>
    </row>
    <row r="217" spans="1:12" ht="30" customHeight="1" x14ac:dyDescent="0.25">
      <c r="A217" s="11" t="s">
        <v>206</v>
      </c>
      <c r="B217" s="11" t="s">
        <v>228</v>
      </c>
      <c r="C217" s="2" t="s">
        <v>21</v>
      </c>
      <c r="D217" s="4">
        <v>32</v>
      </c>
      <c r="E217" s="6">
        <v>0</v>
      </c>
      <c r="F217" s="8">
        <v>0</v>
      </c>
      <c r="G217" s="10">
        <v>1</v>
      </c>
      <c r="H217" s="4">
        <v>38</v>
      </c>
      <c r="I217" s="6">
        <v>0</v>
      </c>
      <c r="J217" s="8">
        <v>0</v>
      </c>
      <c r="K217" s="10">
        <v>55</v>
      </c>
      <c r="L217" s="13">
        <f t="shared" si="17"/>
        <v>-60</v>
      </c>
    </row>
    <row r="218" spans="1:12" ht="30" customHeight="1" x14ac:dyDescent="0.25">
      <c r="A218" s="11" t="s">
        <v>206</v>
      </c>
      <c r="B218" s="11" t="s">
        <v>229</v>
      </c>
      <c r="C218" s="2" t="s">
        <v>21</v>
      </c>
      <c r="D218" s="4">
        <v>47</v>
      </c>
      <c r="E218" s="6">
        <v>0</v>
      </c>
      <c r="F218" s="8">
        <v>0</v>
      </c>
      <c r="G218" s="10">
        <v>0</v>
      </c>
      <c r="H218" s="4">
        <v>92</v>
      </c>
      <c r="I218" s="6">
        <v>0</v>
      </c>
      <c r="J218" s="8">
        <v>0</v>
      </c>
      <c r="K218" s="10">
        <v>47</v>
      </c>
      <c r="L218" s="13">
        <f t="shared" si="17"/>
        <v>-92</v>
      </c>
    </row>
    <row r="219" spans="1:12" ht="30" customHeight="1" x14ac:dyDescent="0.25">
      <c r="A219" s="11" t="s">
        <v>206</v>
      </c>
      <c r="B219" s="11" t="s">
        <v>230</v>
      </c>
      <c r="C219" s="2" t="s">
        <v>21</v>
      </c>
      <c r="D219" s="4">
        <v>102</v>
      </c>
      <c r="E219" s="6">
        <v>0</v>
      </c>
      <c r="F219" s="8">
        <v>0</v>
      </c>
      <c r="G219" s="10">
        <v>0</v>
      </c>
      <c r="H219" s="4">
        <v>98</v>
      </c>
      <c r="I219" s="6">
        <v>0</v>
      </c>
      <c r="J219" s="8">
        <v>0</v>
      </c>
      <c r="K219" s="10">
        <v>224</v>
      </c>
      <c r="L219" s="13">
        <f t="shared" si="17"/>
        <v>-220</v>
      </c>
    </row>
    <row r="220" spans="1:12" ht="30" customHeight="1" x14ac:dyDescent="0.25">
      <c r="A220" s="11" t="s">
        <v>206</v>
      </c>
      <c r="B220" s="11" t="s">
        <v>231</v>
      </c>
      <c r="C220" s="2" t="s">
        <v>21</v>
      </c>
      <c r="D220" s="4">
        <v>228</v>
      </c>
      <c r="E220" s="6">
        <v>0</v>
      </c>
      <c r="F220" s="8">
        <v>0</v>
      </c>
      <c r="G220" s="10">
        <v>0</v>
      </c>
      <c r="H220" s="4">
        <v>246</v>
      </c>
      <c r="I220" s="6">
        <v>0</v>
      </c>
      <c r="J220" s="8">
        <v>0</v>
      </c>
      <c r="K220" s="10">
        <v>210</v>
      </c>
      <c r="L220" s="13">
        <f t="shared" si="17"/>
        <v>-228</v>
      </c>
    </row>
    <row r="221" spans="1:12" ht="30" customHeight="1" x14ac:dyDescent="0.25">
      <c r="A221" s="11" t="s">
        <v>206</v>
      </c>
      <c r="B221" s="11" t="s">
        <v>232</v>
      </c>
      <c r="C221" s="2" t="s">
        <v>21</v>
      </c>
      <c r="D221" s="4">
        <v>642</v>
      </c>
      <c r="E221" s="6">
        <v>0</v>
      </c>
      <c r="F221" s="8">
        <v>0</v>
      </c>
      <c r="G221" s="10">
        <v>0</v>
      </c>
      <c r="H221" s="4">
        <v>1998</v>
      </c>
      <c r="I221" s="6">
        <v>0</v>
      </c>
      <c r="J221" s="8">
        <v>0</v>
      </c>
      <c r="K221" s="10">
        <v>173</v>
      </c>
      <c r="L221" s="13">
        <f t="shared" si="17"/>
        <v>-1529</v>
      </c>
    </row>
    <row r="222" spans="1:12" ht="30" customHeight="1" x14ac:dyDescent="0.25">
      <c r="A222" s="11" t="s">
        <v>206</v>
      </c>
      <c r="B222" s="14" t="s">
        <v>239</v>
      </c>
      <c r="C222" s="2" t="s">
        <v>21</v>
      </c>
      <c r="D222" s="3">
        <f>0+48</f>
        <v>48</v>
      </c>
      <c r="E222" s="6">
        <v>0</v>
      </c>
      <c r="F222" s="8">
        <v>0</v>
      </c>
      <c r="G222" s="10">
        <v>0</v>
      </c>
      <c r="H222" s="3">
        <f>0+44</f>
        <v>44</v>
      </c>
      <c r="I222" s="6">
        <v>0</v>
      </c>
      <c r="J222" s="8">
        <v>0</v>
      </c>
      <c r="K222" s="9">
        <f>0+32</f>
        <v>32</v>
      </c>
      <c r="L222" s="13">
        <f t="shared" si="17"/>
        <v>-28</v>
      </c>
    </row>
    <row r="223" spans="1:12" ht="43.5" customHeight="1" x14ac:dyDescent="0.25">
      <c r="A223" s="11" t="s">
        <v>206</v>
      </c>
      <c r="B223" s="11" t="s">
        <v>233</v>
      </c>
      <c r="C223" s="2" t="s">
        <v>21</v>
      </c>
      <c r="D223" s="4">
        <v>0</v>
      </c>
      <c r="E223" s="6">
        <v>30</v>
      </c>
      <c r="F223" s="8">
        <v>0</v>
      </c>
      <c r="G223" s="10">
        <v>0</v>
      </c>
      <c r="H223" s="4">
        <v>0</v>
      </c>
      <c r="I223" s="6">
        <v>29</v>
      </c>
      <c r="J223" s="8">
        <v>0</v>
      </c>
      <c r="K223" s="10">
        <v>0</v>
      </c>
      <c r="L223" s="15">
        <f t="shared" si="17"/>
        <v>1</v>
      </c>
    </row>
    <row r="224" spans="1:12" ht="30" customHeight="1" x14ac:dyDescent="0.25">
      <c r="A224" s="11" t="s">
        <v>206</v>
      </c>
      <c r="B224" s="11" t="s">
        <v>234</v>
      </c>
      <c r="C224" s="2" t="s">
        <v>21</v>
      </c>
      <c r="D224" s="4">
        <v>0</v>
      </c>
      <c r="E224" s="6">
        <v>960</v>
      </c>
      <c r="F224" s="8">
        <v>0</v>
      </c>
      <c r="G224" s="10">
        <v>0</v>
      </c>
      <c r="H224" s="4">
        <v>0</v>
      </c>
      <c r="I224" s="6">
        <v>854</v>
      </c>
      <c r="J224" s="8">
        <v>0</v>
      </c>
      <c r="K224" s="10">
        <v>0</v>
      </c>
      <c r="L224" s="15">
        <f t="shared" si="17"/>
        <v>106</v>
      </c>
    </row>
    <row r="225" spans="1:12" ht="30" customHeight="1" x14ac:dyDescent="0.25">
      <c r="A225" s="11" t="s">
        <v>206</v>
      </c>
      <c r="B225" s="11" t="s">
        <v>235</v>
      </c>
      <c r="C225" s="2" t="s">
        <v>21</v>
      </c>
      <c r="D225" s="4">
        <v>56</v>
      </c>
      <c r="E225" s="6">
        <v>0</v>
      </c>
      <c r="F225" s="8">
        <v>0</v>
      </c>
      <c r="G225" s="10">
        <v>0</v>
      </c>
      <c r="H225" s="4">
        <v>35</v>
      </c>
      <c r="I225" s="6">
        <v>0</v>
      </c>
      <c r="J225" s="8">
        <v>0</v>
      </c>
      <c r="K225" s="10">
        <v>70</v>
      </c>
      <c r="L225" s="13">
        <f t="shared" si="17"/>
        <v>-49</v>
      </c>
    </row>
    <row r="226" spans="1:12" ht="38.25" customHeight="1" x14ac:dyDescent="0.25">
      <c r="A226" s="11" t="s">
        <v>206</v>
      </c>
      <c r="B226" s="11" t="s">
        <v>236</v>
      </c>
      <c r="C226" s="2" t="s">
        <v>21</v>
      </c>
      <c r="D226" s="4">
        <v>0</v>
      </c>
      <c r="E226" s="6">
        <v>20</v>
      </c>
      <c r="F226" s="8">
        <v>10</v>
      </c>
      <c r="G226" s="10">
        <v>0</v>
      </c>
      <c r="H226" s="4">
        <v>0</v>
      </c>
      <c r="I226" s="6">
        <v>26</v>
      </c>
      <c r="J226" s="8">
        <v>8</v>
      </c>
      <c r="K226" s="10">
        <v>0</v>
      </c>
      <c r="L226" s="13">
        <f t="shared" si="17"/>
        <v>-4</v>
      </c>
    </row>
    <row r="227" spans="1:12" ht="42.75" customHeight="1" x14ac:dyDescent="0.25">
      <c r="A227" s="11" t="s">
        <v>206</v>
      </c>
      <c r="B227" s="11" t="s">
        <v>237</v>
      </c>
      <c r="C227" s="2" t="s">
        <v>21</v>
      </c>
      <c r="D227" s="4">
        <v>0</v>
      </c>
      <c r="E227" s="6">
        <v>220</v>
      </c>
      <c r="F227" s="8">
        <v>0</v>
      </c>
      <c r="G227" s="10">
        <v>0</v>
      </c>
      <c r="H227" s="4">
        <v>0</v>
      </c>
      <c r="I227" s="6">
        <v>248</v>
      </c>
      <c r="J227" s="8">
        <v>0</v>
      </c>
      <c r="K227" s="10">
        <v>0</v>
      </c>
      <c r="L227" s="13">
        <f t="shared" si="17"/>
        <v>-28</v>
      </c>
    </row>
    <row r="228" spans="1:12" ht="30" customHeight="1" x14ac:dyDescent="0.25">
      <c r="A228" s="11" t="s">
        <v>206</v>
      </c>
      <c r="B228" s="11" t="s">
        <v>240</v>
      </c>
      <c r="C228" s="2" t="s">
        <v>196</v>
      </c>
      <c r="D228" s="4">
        <v>53</v>
      </c>
      <c r="E228" s="6">
        <v>0</v>
      </c>
      <c r="F228" s="8">
        <v>0</v>
      </c>
      <c r="G228" s="10">
        <v>0</v>
      </c>
      <c r="H228" s="4">
        <v>46</v>
      </c>
      <c r="I228" s="6">
        <v>0</v>
      </c>
      <c r="J228" s="8">
        <v>0</v>
      </c>
      <c r="K228" s="10">
        <v>42</v>
      </c>
      <c r="L228" s="13">
        <f t="shared" si="17"/>
        <v>-35</v>
      </c>
    </row>
    <row r="229" spans="1:12" ht="48.75" customHeight="1" x14ac:dyDescent="0.25">
      <c r="A229" s="11" t="s">
        <v>206</v>
      </c>
      <c r="B229" s="11" t="s">
        <v>241</v>
      </c>
      <c r="C229" s="2" t="s">
        <v>196</v>
      </c>
      <c r="D229" s="4">
        <v>0</v>
      </c>
      <c r="E229" s="6">
        <v>20</v>
      </c>
      <c r="F229" s="8">
        <v>0</v>
      </c>
      <c r="G229" s="10">
        <v>0</v>
      </c>
      <c r="H229" s="4">
        <v>0</v>
      </c>
      <c r="I229" s="6">
        <v>10</v>
      </c>
      <c r="J229" s="8">
        <v>0</v>
      </c>
      <c r="K229" s="10">
        <v>0</v>
      </c>
      <c r="L229" s="15">
        <f t="shared" si="17"/>
        <v>10</v>
      </c>
    </row>
    <row r="230" spans="1:12" ht="30" customHeight="1" x14ac:dyDescent="0.25">
      <c r="A230" s="11" t="s">
        <v>206</v>
      </c>
      <c r="B230" s="11" t="s">
        <v>242</v>
      </c>
      <c r="C230" s="2" t="s">
        <v>196</v>
      </c>
      <c r="D230" s="4">
        <v>231</v>
      </c>
      <c r="E230" s="6">
        <v>0</v>
      </c>
      <c r="F230" s="8">
        <v>0</v>
      </c>
      <c r="G230" s="10">
        <v>0</v>
      </c>
      <c r="H230" s="4">
        <v>238</v>
      </c>
      <c r="I230" s="6">
        <v>0</v>
      </c>
      <c r="J230" s="8">
        <v>0</v>
      </c>
      <c r="K230" s="10">
        <v>136</v>
      </c>
      <c r="L230" s="13">
        <f t="shared" si="17"/>
        <v>-143</v>
      </c>
    </row>
    <row r="231" spans="1:12" ht="30" customHeight="1" x14ac:dyDescent="0.25">
      <c r="A231" s="11" t="s">
        <v>206</v>
      </c>
      <c r="B231" s="11" t="s">
        <v>243</v>
      </c>
      <c r="C231" s="2" t="s">
        <v>196</v>
      </c>
      <c r="D231" s="4">
        <v>50</v>
      </c>
      <c r="E231" s="6">
        <v>0</v>
      </c>
      <c r="F231" s="8">
        <v>0</v>
      </c>
      <c r="G231" s="10">
        <v>0</v>
      </c>
      <c r="H231" s="4">
        <v>41</v>
      </c>
      <c r="I231" s="6">
        <v>0</v>
      </c>
      <c r="J231" s="8">
        <v>0</v>
      </c>
      <c r="K231" s="10">
        <v>88</v>
      </c>
      <c r="L231" s="13">
        <f t="shared" si="17"/>
        <v>-79</v>
      </c>
    </row>
    <row r="232" spans="1:12" ht="30" customHeight="1" x14ac:dyDescent="0.25">
      <c r="A232" s="11" t="s">
        <v>206</v>
      </c>
      <c r="B232" s="11" t="s">
        <v>244</v>
      </c>
      <c r="C232" s="2" t="s">
        <v>196</v>
      </c>
      <c r="D232" s="4">
        <v>58</v>
      </c>
      <c r="E232" s="6">
        <v>0</v>
      </c>
      <c r="F232" s="8">
        <v>0</v>
      </c>
      <c r="G232" s="10">
        <v>0</v>
      </c>
      <c r="H232" s="4">
        <v>50</v>
      </c>
      <c r="I232" s="6">
        <v>0</v>
      </c>
      <c r="J232" s="8">
        <v>0</v>
      </c>
      <c r="K232" s="10">
        <v>67</v>
      </c>
      <c r="L232" s="13">
        <f t="shared" si="17"/>
        <v>-59</v>
      </c>
    </row>
    <row r="233" spans="1:12" ht="42.75" customHeight="1" x14ac:dyDescent="0.25">
      <c r="A233" s="11" t="s">
        <v>206</v>
      </c>
      <c r="B233" s="11" t="s">
        <v>245</v>
      </c>
      <c r="C233" s="2" t="s">
        <v>196</v>
      </c>
      <c r="D233" s="4">
        <v>0</v>
      </c>
      <c r="E233" s="6">
        <v>22</v>
      </c>
      <c r="F233" s="8">
        <v>10</v>
      </c>
      <c r="G233" s="10">
        <v>0</v>
      </c>
      <c r="H233" s="4">
        <v>0</v>
      </c>
      <c r="I233" s="6">
        <v>8</v>
      </c>
      <c r="J233" s="8">
        <v>0</v>
      </c>
      <c r="K233" s="10">
        <v>0</v>
      </c>
      <c r="L233" s="15">
        <f t="shared" si="17"/>
        <v>24</v>
      </c>
    </row>
    <row r="234" spans="1:12" ht="56.25" customHeight="1" x14ac:dyDescent="0.25">
      <c r="A234" s="11" t="s">
        <v>206</v>
      </c>
      <c r="B234" s="11" t="s">
        <v>246</v>
      </c>
      <c r="C234" s="2" t="s">
        <v>196</v>
      </c>
      <c r="D234" s="4">
        <v>0</v>
      </c>
      <c r="E234" s="6">
        <v>39</v>
      </c>
      <c r="F234" s="8">
        <v>0</v>
      </c>
      <c r="G234" s="10">
        <v>0</v>
      </c>
      <c r="H234" s="4">
        <v>3</v>
      </c>
      <c r="I234" s="6">
        <v>24</v>
      </c>
      <c r="J234" s="8">
        <v>0</v>
      </c>
      <c r="K234" s="10">
        <v>8</v>
      </c>
      <c r="L234" s="15">
        <f t="shared" si="17"/>
        <v>4</v>
      </c>
    </row>
    <row r="235" spans="1:12" ht="30" customHeight="1" x14ac:dyDescent="0.25">
      <c r="A235" s="11" t="s">
        <v>206</v>
      </c>
      <c r="B235" s="11" t="s">
        <v>247</v>
      </c>
      <c r="C235" s="2" t="s">
        <v>196</v>
      </c>
      <c r="D235" s="4">
        <v>0</v>
      </c>
      <c r="E235" s="6">
        <v>84</v>
      </c>
      <c r="F235" s="8">
        <v>26</v>
      </c>
      <c r="G235" s="10">
        <v>0</v>
      </c>
      <c r="H235" s="4">
        <v>0</v>
      </c>
      <c r="I235" s="6">
        <v>229</v>
      </c>
      <c r="J235" s="8">
        <v>139</v>
      </c>
      <c r="K235" s="10">
        <v>0</v>
      </c>
      <c r="L235" s="13">
        <f t="shared" si="17"/>
        <v>-258</v>
      </c>
    </row>
    <row r="236" spans="1:12" ht="30" customHeight="1" x14ac:dyDescent="0.25">
      <c r="A236" s="11" t="s">
        <v>206</v>
      </c>
      <c r="B236" s="11" t="s">
        <v>248</v>
      </c>
      <c r="C236" s="2" t="s">
        <v>196</v>
      </c>
      <c r="D236" s="4">
        <v>104</v>
      </c>
      <c r="E236" s="6">
        <v>20</v>
      </c>
      <c r="F236" s="8">
        <v>0</v>
      </c>
      <c r="G236" s="10">
        <v>0</v>
      </c>
      <c r="H236" s="4">
        <v>85</v>
      </c>
      <c r="I236" s="6">
        <v>33</v>
      </c>
      <c r="J236" s="8">
        <v>0</v>
      </c>
      <c r="K236" s="10">
        <v>37</v>
      </c>
      <c r="L236" s="13">
        <f t="shared" si="17"/>
        <v>-31</v>
      </c>
    </row>
    <row r="237" spans="1:12" ht="34.5" customHeight="1" x14ac:dyDescent="0.25">
      <c r="A237" s="11" t="s">
        <v>206</v>
      </c>
      <c r="B237" s="11" t="s">
        <v>249</v>
      </c>
      <c r="C237" s="2" t="s">
        <v>149</v>
      </c>
      <c r="D237" s="4">
        <f>0+28</f>
        <v>28</v>
      </c>
      <c r="E237" s="6">
        <f>0+27</f>
        <v>27</v>
      </c>
      <c r="F237" s="8">
        <f>0+0</f>
        <v>0</v>
      </c>
      <c r="G237" s="10">
        <f>0+0</f>
        <v>0</v>
      </c>
      <c r="H237" s="4">
        <f>0+70</f>
        <v>70</v>
      </c>
      <c r="I237" s="6">
        <f>0+12</f>
        <v>12</v>
      </c>
      <c r="J237" s="8">
        <f>0+0</f>
        <v>0</v>
      </c>
      <c r="K237" s="10">
        <f>0+0</f>
        <v>0</v>
      </c>
      <c r="L237" s="13">
        <f t="shared" si="17"/>
        <v>-27</v>
      </c>
    </row>
    <row r="238" spans="1:12" ht="42.75" customHeight="1" x14ac:dyDescent="0.25">
      <c r="A238" s="11" t="s">
        <v>206</v>
      </c>
      <c r="B238" s="11" t="s">
        <v>250</v>
      </c>
      <c r="C238" s="2" t="s">
        <v>149</v>
      </c>
      <c r="D238" s="4">
        <f>0+0</f>
        <v>0</v>
      </c>
      <c r="E238" s="6">
        <f>80+0</f>
        <v>80</v>
      </c>
      <c r="F238" s="8">
        <f>50+8</f>
        <v>58</v>
      </c>
      <c r="G238" s="10">
        <f>0+0</f>
        <v>0</v>
      </c>
      <c r="H238" s="4">
        <f>0+0</f>
        <v>0</v>
      </c>
      <c r="I238" s="6">
        <f>91+0</f>
        <v>91</v>
      </c>
      <c r="J238" s="8">
        <f>50+8</f>
        <v>58</v>
      </c>
      <c r="K238" s="10">
        <f>0+0</f>
        <v>0</v>
      </c>
      <c r="L238" s="13">
        <f t="shared" si="17"/>
        <v>-11</v>
      </c>
    </row>
    <row r="239" spans="1:12" x14ac:dyDescent="0.25">
      <c r="A239" s="16" t="s">
        <v>251</v>
      </c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8"/>
    </row>
    <row r="240" spans="1:12" ht="31.5" customHeight="1" x14ac:dyDescent="0.25">
      <c r="A240" s="19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1"/>
    </row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</sheetData>
  <mergeCells count="12">
    <mergeCell ref="C3:G3"/>
    <mergeCell ref="A1:B3"/>
    <mergeCell ref="C1:L1"/>
    <mergeCell ref="C2:L2"/>
    <mergeCell ref="H3:L3"/>
    <mergeCell ref="A239:L240"/>
    <mergeCell ref="A6:C6"/>
    <mergeCell ref="D6:G6"/>
    <mergeCell ref="H6:K6"/>
    <mergeCell ref="A4:L4"/>
    <mergeCell ref="L6:L7"/>
    <mergeCell ref="A5:L5"/>
  </mergeCells>
  <pageMargins left="0.23622047244094491" right="0.19097222222222221" top="0.52083333333333337" bottom="0.98958333333333337" header="0" footer="0.51181102362204722"/>
  <pageSetup paperSize="9" orientation="landscape" r:id="rId1"/>
  <headerFooter>
    <oddFooter>&amp;LPara as unidades com ambos os sexos, os valores foram somados. Selecionando a célula, o 1º número corresponde ao masculino, e o 2ª ao feminino.
** Indica que o estabelecimento possui pessoas de sexo distinto da sua indicação.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2018-04-20T18:28:25Z</dcterms:modified>
</cp:coreProperties>
</file>