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6" windowHeight="11040" tabRatio="950"/>
  </bookViews>
  <sheets>
    <sheet name="INSERÇÃO-DE-DADOS" sheetId="11" r:id="rId1"/>
    <sheet name="DADOS-ESTATISTICOS" sheetId="23" r:id="rId2"/>
    <sheet name="ENCARGOS-SOCIAIS-E-TRABALHISTAS" sheetId="12" r:id="rId3"/>
    <sheet name="SERVENTES" sheetId="14" r:id="rId4"/>
    <sheet name="LIMITES-SEGES-PORT-7-2015" sheetId="17" state="hidden" r:id="rId5"/>
    <sheet name="LIMITES-SEGES-PORT-213-2017" sheetId="18" state="hidden" r:id="rId6"/>
    <sheet name="QTDE-ESTIMADA-SERVENTES" sheetId="22" state="hidden" r:id="rId7"/>
  </sheets>
  <definedNames>
    <definedName name="ACORDO_COLETIVO">'INSERÇÃO-DE-DADOS'!$F$14</definedName>
    <definedName name="ADIC_INSALUB_ENC">'INSERÇÃO-DE-DADOS'!$D$19</definedName>
    <definedName name="ADIC_INSALUB_SERV">'INSERÇÃO-DE-DADOS'!$D$20</definedName>
    <definedName name="ADIC_INSALUB_SERV_HOSP">'INSERÇÃO-DE-DADOS'!$D$21</definedName>
    <definedName name="AL_1_A_SAL_BASE_SERV" localSheetId="3">SERVENTES!$F$21</definedName>
    <definedName name="AL_1_C_OUTROS_REM_1_SERV">SERVENTES!$F$23</definedName>
    <definedName name="AL_1_D_OUTROS_REM_2_ENC">#REF!</definedName>
    <definedName name="AL_1_D_OUTROS_REM_2_SERV">SERVENTES!$F$24</definedName>
    <definedName name="AL_1_E_OUTROS_REM_3_ENC" localSheetId="3">#REF!</definedName>
    <definedName name="AL_1_E_OUTROS_REM_3_SERV">SERVENTES!$F$25</definedName>
    <definedName name="AL_2_1_A_DEC_TERC_ENC" localSheetId="3">#REF!</definedName>
    <definedName name="AL_2_1_B_ADIC_FERIAS_SERV" localSheetId="3">SERVENTES!$F$31</definedName>
    <definedName name="AL_2_2_FGTS_SERV" localSheetId="3">SERVENTES!$F$42</definedName>
    <definedName name="AL_2_3_A_TRANSP_SERV" localSheetId="3">SERVENTES!$F$46</definedName>
    <definedName name="AL_2_3_B_AUX_ALIMENT_SERV" localSheetId="3">SERVENTES!$F$47</definedName>
    <definedName name="AL_2_3_C_OUTROS_BENEF_1_SERV" localSheetId="3">SERVENTES!$F$48</definedName>
    <definedName name="AL_2_A_ATE_2_G_GPS_SERV" localSheetId="3">SERVENTES!$F$35:$F$41</definedName>
    <definedName name="AL_6_A_CUSTOS_INDIRETOS_SERV" localSheetId="3">SERVENTES!$F$81</definedName>
    <definedName name="AL_6_B_LUCRO_SERV" localSheetId="3">SERVENTES!$F$82</definedName>
    <definedName name="AL_6_C_1_PIS_SERV" localSheetId="3">SERVENTES!$F$84</definedName>
    <definedName name="AL_6_C_2_COFINS_SERV" localSheetId="3">SERVENTES!$F$85</definedName>
    <definedName name="AL_6_C_3_ISS_SERV" localSheetId="3">SERVENTES!$F$86</definedName>
    <definedName name="AL_6_C_TRIBUTOS_SERV" localSheetId="3">SERVENTES!$F$83</definedName>
    <definedName name="ALIMENTACAO_POR_DIA">'INSERÇÃO-DE-DADOS'!$F$42</definedName>
    <definedName name="AREA_ESQ_EXTERNA_ANEXOS">'INSERÇÃO-DE-DADOS'!$J$11</definedName>
    <definedName name="AREA_ESQ_EXTERNA_PTMS_PRMS">'INSERÇÃO-DE-DADOS'!$K$11</definedName>
    <definedName name="AREA_ESQ_EXTERNA_SEDE">'INSERÇÃO-DE-DADOS'!$I$11</definedName>
    <definedName name="AREA_ESQ_EXTERNA_TOTAL">'INSERÇÃO-DE-DADOS'!$L$11</definedName>
    <definedName name="AREA_EXTERNA_ANEXOS">'INSERÇÃO-DE-DADOS'!$J$10</definedName>
    <definedName name="AREA_EXTERNA_PTMS_PRMS">'INSERÇÃO-DE-DADOS'!$K$10</definedName>
    <definedName name="AREA_EXTERNA_SEDE">'INSERÇÃO-DE-DADOS'!$I$10</definedName>
    <definedName name="AREA_EXTERNA_TOTAL">'INSERÇÃO-DE-DADOS'!$L$10</definedName>
    <definedName name="AREA_FACHADA_ENVID_ANEXOS">'INSERÇÃO-DE-DADOS'!$J$12</definedName>
    <definedName name="AREA_FACHADA_ENVID_PTMS_PRMS">'INSERÇÃO-DE-DADOS'!$K$12</definedName>
    <definedName name="AREA_FACHADA_ENVID_SEDE">'INSERÇÃO-DE-DADOS'!$I$12</definedName>
    <definedName name="AREA_FACHADA_ENVID_TOTAL">'INSERÇÃO-DE-DADOS'!$L$12</definedName>
    <definedName name="AREA_INTERNA_ANEXOS">'INSERÇÃO-DE-DADOS'!$J$9</definedName>
    <definedName name="AREA_INTERNA_PTMS_PRMS">'INSERÇÃO-DE-DADOS'!$K$9</definedName>
    <definedName name="AREA_INTERNA_SEDE">'INSERÇÃO-DE-DADOS'!$I$9</definedName>
    <definedName name="AREA_INTERNA_TOTAL">'INSERÇÃO-DE-DADOS'!$L$9</definedName>
    <definedName name="AREA_MED_HOSP_ANEXOS">'INSERÇÃO-DE-DADOS'!$J$13</definedName>
    <definedName name="AREA_MED_HOSP_PTMS_PRMS">'INSERÇÃO-DE-DADOS'!$K$13</definedName>
    <definedName name="AREA_MED_HOSP_SEDE">'INSERÇÃO-DE-DADOS'!$I$13</definedName>
    <definedName name="AREA_MED_HOSP_TOTAL">'INSERÇÃO-DE-DADOS'!$L$13</definedName>
    <definedName name="CARGA_HORARIA_SEMANAL">'DADOS-ESTATISTICOS'!$F$11</definedName>
    <definedName name="CATEGORIA_PROFISSIONAL_ENC">'INSERÇÃO-DE-DADOS'!$C$19</definedName>
    <definedName name="CATEGORIA_PROFISSIONAL_SERV">'INSERÇÃO-DE-DADOS'!$C$20</definedName>
    <definedName name="CATEGORIA_PROFISSIONAL_SERV_HOSP">'INSERÇÃO-DE-DADOS'!$C$21</definedName>
    <definedName name="CBO">'INSERÇÃO-DE-DADOS'!$D$25</definedName>
    <definedName name="COEF_KI_ESQ_EXTERNA_ENC">#REF!</definedName>
    <definedName name="COEF_KI_ESQ_EXTERNA_SERV">#REF!</definedName>
    <definedName name="COEF_KI_FACHADA_ENVID_ENC">#REF!</definedName>
    <definedName name="COEF_KI_FACHADA_ENVID_SERV">#REF!</definedName>
    <definedName name="CUSTO_M2_AREA_EXTERNA">#REF!</definedName>
    <definedName name="CUSTO_M2_AREA_EXTERNA_ENC">#REF!</definedName>
    <definedName name="CUSTO_M2_AREA_EXTERNA_SERV">#REF!</definedName>
    <definedName name="CUSTO_M2_AREA_HOSPITALAR_ENC">#REF!</definedName>
    <definedName name="CUSTO_M2_AREA_HOSPITALAR_SERV">#REF!</definedName>
    <definedName name="CUSTO_M2_AREA_INTERNA">#REF!</definedName>
    <definedName name="CUSTO_M2_AREA_INTERNA_ENC">#REF!</definedName>
    <definedName name="CUSTO_M2_AREA_INTERNA_SERV">#REF!</definedName>
    <definedName name="CUSTO_M2_AREA_MED_HOSP">#REF!</definedName>
    <definedName name="CUSTO_M2_ESQ_EXTERNA">#REF!</definedName>
    <definedName name="CUSTO_M2_ESQ_EXTERNA_ENC">#REF!</definedName>
    <definedName name="CUSTO_M2_ESQ_EXTERNA_SERV">#REF!</definedName>
    <definedName name="CUSTO_M2_FACHADA_ENVID">#REF!</definedName>
    <definedName name="CUSTO_M2_FACHADA_ENVID_ENC">#REF!</definedName>
    <definedName name="CUSTO_M2_FACHADA_ENVID_SERV">#REF!</definedName>
    <definedName name="DATA_APRESENTACAO_PROPOSTA">'INSERÇÃO-DE-DADOS'!$F$11</definedName>
    <definedName name="DATA_BASE_CATEGORIA">'INSERÇÃO-DE-DADOS'!$F$26</definedName>
    <definedName name="DATA_DO_ORCAMENTO_ESTIMATIVO">'INSERÇÃO-DE-DADOS'!$F$2</definedName>
    <definedName name="DATA_LICITACAO">'INSERÇÃO-DE-DADOS'!$D$8</definedName>
    <definedName name="DIAS_AUSENCIAS_LEGAIS">'DADOS-ESTATISTICOS'!$F$29</definedName>
    <definedName name="DIAS_LICENCA_MATERNIDADE">'DADOS-ESTATISTICOS'!$F$35</definedName>
    <definedName name="DIAS_LICENCA_PATERNIDADE">'DADOS-ESTATISTICOS'!$F$30</definedName>
    <definedName name="DIAS_NA_SEMANA">'DADOS-ESTATISTICOS'!$F$5</definedName>
    <definedName name="DIAS_NO_ANO">'DADOS-ESTATISTICOS'!$F$6</definedName>
    <definedName name="DIAS_NO_MES">'DADOS-ESTATISTICOS'!$F$24</definedName>
    <definedName name="DIAS_PAGOS_EMPRESA_ACID_TRAB">'DADOS-ESTATISTICOS'!$F$34</definedName>
    <definedName name="DIAS_TRABALHADOS_NO_MES">'INSERÇÃO-DE-DADOS'!$F$43</definedName>
    <definedName name="DIVISOR_DE_HORAS">'DADOS-ESTATISTICOS'!$F$4</definedName>
    <definedName name="ENCARREGADO_DE_LIMPEZA">'INSERÇÃO-DE-DADOS'!$C$19</definedName>
    <definedName name="EQUIPAMENTOS">'INSERÇÃO-DE-DADOS'!$F$62</definedName>
    <definedName name="FREQ_ESQ_EXTERNA">'INSERÇÃO-DE-DADOS'!$N$11</definedName>
    <definedName name="FREQ_FACHADA_ENVID">'INSERÇÃO-DE-DADOS'!$N$12</definedName>
    <definedName name="HORA_NORMAL">'DADOS-ESTATISTICOS'!$F$10</definedName>
    <definedName name="HORARIO_LICITACAO">'INSERÇÃO-DE-DADOS'!$F$8</definedName>
    <definedName name="JORNADA_MES_ESQ_EXTERNA_ENC">#REF!</definedName>
    <definedName name="JORNADA_MES_ESQ_EXTERNA_SERV">#REF!</definedName>
    <definedName name="JORNADA_MES_FACHADA_ENVID_ENC">#REF!</definedName>
    <definedName name="JORNADA_MES_FACHADA_ENVID_SERV">#REF!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ESES_NO_SEMESTRE">'DADOS-ESTATISTICOS'!$F$9</definedName>
    <definedName name="MOD_1_REMUNERACAO_ENC">#REF!</definedName>
    <definedName name="MOD_1_REMUNERACAO_SERV" localSheetId="3">SERVENTES!$F$26</definedName>
    <definedName name="MOD_1_REMUNERACAO_SERV_HOSP">#REF!</definedName>
    <definedName name="MOD_2_ENCARGOS_BENEFICIOS_SERV" localSheetId="3">SERVENTES!$F$32+SERVENTES!$F$43+SERVENTES!$F$51</definedName>
    <definedName name="MOD_3_PROVISAO_RESCISAO_ENC">#REF!</definedName>
    <definedName name="MOD_3_PROVISAO_RESCISAO_SERV" localSheetId="3">SERVENTES!$F$57</definedName>
    <definedName name="MOD_3_PROVISAO_RESCISAO_SERV_HOSP">#REF!</definedName>
    <definedName name="MOD_4_CUSTO_REPOSICAO_SERV" localSheetId="3">SERVENTES!$F$67+SERVENTES!$F$71</definedName>
    <definedName name="MOD_5_INSUMOS_SERV" localSheetId="3">SERVENTES!$F$78</definedName>
    <definedName name="MOD_6_CUSTOS_IND_LUCRO_TRIB_SERV" localSheetId="3">SERVENTES!$F$87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'INSERÇÃO-DE-DADOS'!$F$33</definedName>
    <definedName name="OUTROS_REMUNERACAO_1_DESCRICAO">'INSERÇÃO-DE-DADOS'!$C$33</definedName>
    <definedName name="OUTROS_REMUNERACAO_2">'INSERÇÃO-DE-DADOS'!$F$34</definedName>
    <definedName name="OUTROS_REMUNERACAO_2_DESCRICAO">'INSERÇÃO-DE-DADOS'!$C$34:$E$34</definedName>
    <definedName name="OUTROS_REMUNERACAO_3">'INSERÇÃO-DE-DADOS'!$F$35</definedName>
    <definedName name="OUTROS_REMUNERACAO_3_DESCRICAO">'INSERÇÃO-DE-DADOS'!$C$35:$E$35</definedName>
    <definedName name="PERC_ADIC_FERIAS">'ENCARGOS-SOCIAIS-E-TRABALHISTAS'!$E$6</definedName>
    <definedName name="PERC_ADIC_INSALUB">'INSERÇÃO-DE-DADOS'!$F$32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'DADOS-ESTATISTICOS'!$F$16</definedName>
    <definedName name="PERC_EMPREG_AFAST_TRAB">'DADOS-ESTATISTICOS'!$F$33</definedName>
    <definedName name="PERC_EMPREG_AVISO_PREVIO_IND">'DADOS-ESTATISTICOS'!$F$21</definedName>
    <definedName name="PERC_EMPREG_AVISO_PREVIO_TRAB">'DADOS-ESTATISTICOS'!$F$23</definedName>
    <definedName name="PERC_EMPREG_DEMIT_SEM_JUSTA_CAUSA_TOTAL_DESLIG">'DADOS-ESTATISTICOS'!$F$20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SERVENTES!$E$57</definedName>
    <definedName name="PERC_MULTA_FGTS">'DADOS-ESTATISTICOS'!$F$22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'DADOS-ESTATISTICOS'!$F$31</definedName>
    <definedName name="PERC_PARTIC_FEM_VIGIL">'DADOS-ESTATISTICOS'!$F$36</definedName>
    <definedName name="PERC_PARTIC_MASC_VIGIL">'DADOS-ESTATISTICOS'!$F$32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SERVENTES!$E$83</definedName>
    <definedName name="PORTARIA_LIMITES">'INSERÇÃO-DE-DADOS'!$N$4</definedName>
    <definedName name="PRODUT_AREA_ESQ_EXTERNA">'INSERÇÃO-DE-DADOS'!$M$11</definedName>
    <definedName name="PRODUT_AREA_EXTERNA">'INSERÇÃO-DE-DADOS'!$M$10</definedName>
    <definedName name="PRODUT_AREA_FACHADA_ENVID">'INSERÇÃO-DE-DADOS'!$M$12</definedName>
    <definedName name="PRODUT_AREA_HOSPITALAR">'INSERÇÃO-DE-DADOS'!$M$13</definedName>
    <definedName name="PRODUT_AREA_INTERNA">'INSERÇÃO-DE-DADOS'!$M$9</definedName>
    <definedName name="QTDE_DE_ENC">'INSERÇÃO-DE-DADOS'!$E$19</definedName>
    <definedName name="QTDE_DE_SERV">'INSERÇÃO-DE-DADOS'!$E$20</definedName>
    <definedName name="QTDE_DE_SERV_HOSP">'INSERÇÃO-DE-DADOS'!$E$21</definedName>
    <definedName name="QTDE_ESTIMADA_SERVENTES">'QTDE-ESTIMADA-SERVENTES'!$D$10</definedName>
    <definedName name="RAMO">'INSERÇÃO-DE-DADOS'!$B$1</definedName>
    <definedName name="RELACAO_SERVENTES_ENCARREGADOS">'INSERÇÃO-DE-DADOS'!$N$15</definedName>
    <definedName name="SAL_MINIMO">'INSERÇÃO-DE-DADOS'!$F$27</definedName>
    <definedName name="SALARIO_NORMATIVO_ENC">'INSERÇÃO-DE-DADOS'!$F$19</definedName>
    <definedName name="SALARIO_NORMATIVO_SERV">'INSERÇÃO-DE-DADOS'!$F$20</definedName>
    <definedName name="SALARIO_NORMATIVO_SERV_HOSP">'INSERÇÃO-DE-DADOS'!$F$21</definedName>
    <definedName name="SERVENTE">'INSERÇÃO-DE-DADOS'!$C$20</definedName>
    <definedName name="SERVENTE_AREA_HOSPITALAR">'INSERÇÃO-DE-DADOS'!$C$21</definedName>
    <definedName name="SUBMOD_2_1_DEC_TERC_ADIC_FERIAS_ENC">#REF!</definedName>
    <definedName name="SUBMOD_2_1_DEC_TERC_ADIC_FERIAS_SERV" localSheetId="3">SERVENTES!$F$32</definedName>
    <definedName name="SUBMOD_2_1_DEC_TERC_ADIC_FERIAS_SERV_HOSP">#REF!</definedName>
    <definedName name="SUBMOD_2_2_GPS_FGTS_ENC">#REF!</definedName>
    <definedName name="SUBMOD_2_2_GPS_FGTS_SERV" localSheetId="3">SERVENTES!$F$43</definedName>
    <definedName name="SUBMOD_2_2_GPS_FGTS_SERV_HOSP">#REF!</definedName>
    <definedName name="SUBMOD_2_3_BENEFICIOS_SERV" localSheetId="3">SERVENTES!$F$51</definedName>
    <definedName name="SUBMOD_4_1_SUBSTITUTO_ENC">#REF!</definedName>
    <definedName name="SUBMOD_4_1_SUBSTITUTO_SERV" localSheetId="3">SERVENTES!$F$67</definedName>
    <definedName name="SUBMOD_4_2_INTRAJORNADA_SERV" localSheetId="3">SERVENTES!$F$71</definedName>
    <definedName name="TEMPO_INTERVALO_REFEICAO">'INSERÇÃO-DE-DADOS'!$F$56</definedName>
    <definedName name="TIPO_DE_SERVICO">'INSERÇÃO-DE-DADOS'!$E$24</definedName>
    <definedName name="TRANSPORTE_POR_DIA">'INSERÇÃO-DE-DADOS'!$F$41</definedName>
    <definedName name="UF">'INSERÇÃO-DE-DADOS'!$F$13</definedName>
    <definedName name="UG">'INSERÇÃO-DE-DADOS'!$B$2</definedName>
    <definedName name="UNIFORMES">'INSERÇÃO-DE-DADOS'!$F$60</definedName>
    <definedName name="VALOR_LIMITE_CONTRATACAO_POR_AREA">#REF!</definedName>
    <definedName name="VALOR_LIMITES_AREA_EXTERNA">#REF!</definedName>
    <definedName name="VALOR_LIMITES_AREA_INTERNA">#REF!</definedName>
    <definedName name="VALOR_LIMITES_ESQ_EXTERNA">#REF!</definedName>
    <definedName name="VALOR_LIMITES_FACHADA_ENVID">#REF!</definedName>
    <definedName name="VALOR_TOTAL_ENC">#REF!</definedName>
    <definedName name="VALOR_TOTAL_SERV">SERVENTES!$F$96</definedName>
    <definedName name="VALOR_TOTAL_SERV_HOSP" localSheetId="3">#REF!</definedName>
    <definedName name="VALOR_TOTAL_SERV_HOSP">#REF!</definedName>
  </definedNames>
  <calcPr calcId="152511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8" l="1"/>
  <c r="L33" i="18"/>
  <c r="M33" i="18"/>
  <c r="N33" i="18"/>
  <c r="O33" i="18"/>
  <c r="P33" i="18"/>
  <c r="Q33" i="18"/>
  <c r="R33" i="18"/>
  <c r="C33" i="18"/>
  <c r="C35" i="18" s="1"/>
  <c r="C34" i="18"/>
  <c r="C32" i="17"/>
  <c r="C34" i="17" s="1"/>
  <c r="C33" i="17"/>
  <c r="F41" i="23" l="1"/>
  <c r="F40" i="23"/>
  <c r="E20" i="12" l="1"/>
  <c r="L12" i="11" l="1"/>
  <c r="N15" i="11"/>
  <c r="F33" i="23" l="1"/>
  <c r="F2" i="14" l="1"/>
  <c r="F12" i="14"/>
  <c r="D9" i="14"/>
  <c r="C9" i="22" l="1"/>
  <c r="C8" i="22"/>
  <c r="C7" i="22"/>
  <c r="C6" i="22"/>
  <c r="C5" i="22"/>
  <c r="E34" i="18" l="1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D33" i="18"/>
  <c r="E33" i="18"/>
  <c r="E35" i="18" s="1"/>
  <c r="F33" i="18"/>
  <c r="F35" i="18" s="1"/>
  <c r="G33" i="18"/>
  <c r="G35" i="18" s="1"/>
  <c r="H33" i="18"/>
  <c r="H35" i="18" s="1"/>
  <c r="I33" i="18"/>
  <c r="I35" i="18" s="1"/>
  <c r="J33" i="18"/>
  <c r="J35" i="18" s="1"/>
  <c r="K35" i="18"/>
  <c r="L35" i="18"/>
  <c r="M35" i="18"/>
  <c r="N35" i="18"/>
  <c r="O35" i="18"/>
  <c r="P35" i="18"/>
  <c r="Q35" i="18"/>
  <c r="R35" i="18"/>
  <c r="F22" i="14" l="1"/>
  <c r="D8" i="22" l="1"/>
  <c r="D16" i="14" l="1"/>
  <c r="L9" i="11"/>
  <c r="F21" i="14"/>
  <c r="F46" i="14" s="1"/>
  <c r="L10" i="11"/>
  <c r="D6" i="22" s="1"/>
  <c r="L11" i="11"/>
  <c r="D7" i="22" s="1"/>
  <c r="L13" i="11"/>
  <c r="I14" i="11"/>
  <c r="J14" i="11"/>
  <c r="K14" i="11"/>
  <c r="D5" i="22" l="1"/>
  <c r="D9" i="22"/>
  <c r="B9" i="22"/>
  <c r="B8" i="22"/>
  <c r="B7" i="22"/>
  <c r="B6" i="22"/>
  <c r="B5" i="22"/>
  <c r="L14" i="11"/>
  <c r="C31" i="12"/>
  <c r="E31" i="12"/>
  <c r="D10" i="22" l="1"/>
  <c r="D34" i="18" l="1"/>
  <c r="D35" i="18"/>
  <c r="J33" i="17"/>
  <c r="I33" i="17"/>
  <c r="J32" i="17"/>
  <c r="J34" i="17" s="1"/>
  <c r="I32" i="17"/>
  <c r="I34" i="17" s="1"/>
  <c r="H33" i="17"/>
  <c r="G33" i="17"/>
  <c r="F33" i="17"/>
  <c r="E33" i="17"/>
  <c r="D33" i="17"/>
  <c r="H32" i="17"/>
  <c r="H34" i="17" s="1"/>
  <c r="G32" i="17"/>
  <c r="G34" i="17" s="1"/>
  <c r="F32" i="17"/>
  <c r="F34" i="17" s="1"/>
  <c r="E32" i="17"/>
  <c r="E34" i="17" s="1"/>
  <c r="D32" i="17"/>
  <c r="D34" i="17" s="1"/>
  <c r="E86" i="14" l="1"/>
  <c r="E85" i="14"/>
  <c r="E84" i="14"/>
  <c r="E82" i="14"/>
  <c r="E81" i="14"/>
  <c r="F77" i="14"/>
  <c r="C77" i="14"/>
  <c r="F76" i="14"/>
  <c r="F75" i="14"/>
  <c r="F74" i="14"/>
  <c r="E66" i="14"/>
  <c r="C66" i="14"/>
  <c r="F50" i="14"/>
  <c r="C50" i="14"/>
  <c r="F49" i="14"/>
  <c r="C49" i="14"/>
  <c r="F48" i="14"/>
  <c r="C48" i="14"/>
  <c r="F47" i="14"/>
  <c r="E41" i="14"/>
  <c r="E40" i="14"/>
  <c r="E39" i="14"/>
  <c r="E38" i="14"/>
  <c r="E37" i="14"/>
  <c r="E36" i="14"/>
  <c r="E35" i="14"/>
  <c r="F25" i="14"/>
  <c r="C25" i="14"/>
  <c r="F24" i="14"/>
  <c r="C24" i="14"/>
  <c r="F23" i="14"/>
  <c r="C23" i="14"/>
  <c r="F17" i="14"/>
  <c r="D15" i="14"/>
  <c r="E14" i="14"/>
  <c r="F11" i="14"/>
  <c r="F10" i="14"/>
  <c r="F8" i="14"/>
  <c r="F6" i="14"/>
  <c r="D6" i="14"/>
  <c r="D5" i="14"/>
  <c r="B2" i="14"/>
  <c r="B1" i="14"/>
  <c r="E83" i="14" l="1"/>
  <c r="F51" i="14"/>
  <c r="F78" i="14"/>
  <c r="F94" i="14" s="1"/>
  <c r="F26" i="14" l="1"/>
  <c r="F90" i="14" l="1"/>
  <c r="E5" i="12" l="1"/>
  <c r="E6" i="12"/>
  <c r="E21" i="12"/>
  <c r="E22" i="12" s="1"/>
  <c r="E26" i="12"/>
  <c r="E27" i="12"/>
  <c r="E28" i="12"/>
  <c r="E29" i="12"/>
  <c r="E69" i="11"/>
  <c r="E70" i="11"/>
  <c r="E71" i="11"/>
  <c r="E64" i="14" l="1"/>
  <c r="E55" i="14"/>
  <c r="E62" i="14"/>
  <c r="E54" i="14"/>
  <c r="E63" i="14"/>
  <c r="E31" i="14"/>
  <c r="F31" i="14"/>
  <c r="E61" i="14"/>
  <c r="E30" i="14"/>
  <c r="F30" i="14"/>
  <c r="F32" i="14" l="1"/>
  <c r="F37" i="14" l="1"/>
  <c r="F41" i="14"/>
  <c r="F38" i="14"/>
  <c r="F39" i="14"/>
  <c r="F36" i="14"/>
  <c r="F40" i="14"/>
  <c r="F35" i="14"/>
  <c r="E42" i="14" l="1"/>
  <c r="F42" i="14"/>
  <c r="F54" i="14" s="1"/>
  <c r="E17" i="12"/>
  <c r="E30" i="12" l="1"/>
  <c r="F56" i="14"/>
  <c r="F43" i="14"/>
  <c r="E56" i="14"/>
  <c r="E65" i="14"/>
  <c r="F55" i="14" l="1"/>
  <c r="F57" i="14" s="1"/>
  <c r="F91" i="14"/>
  <c r="F92" i="14" l="1"/>
  <c r="F70" i="14"/>
  <c r="F71" i="14" s="1"/>
  <c r="F66" i="14"/>
  <c r="F63" i="14"/>
  <c r="F64" i="14"/>
  <c r="F62" i="14"/>
  <c r="F61" i="14"/>
  <c r="F65" i="14"/>
  <c r="F67" i="14" l="1"/>
  <c r="F81" i="14" l="1"/>
  <c r="F82" i="14" s="1"/>
  <c r="F86" i="14" s="1"/>
  <c r="F93" i="14"/>
  <c r="F85" i="14" l="1"/>
  <c r="F84" i="14"/>
  <c r="F83" i="14" l="1"/>
  <c r="F87" i="14" s="1"/>
  <c r="F95" i="14" s="1"/>
  <c r="F96" i="14" s="1"/>
</calcChain>
</file>

<file path=xl/sharedStrings.xml><?xml version="1.0" encoding="utf-8"?>
<sst xmlns="http://schemas.openxmlformats.org/spreadsheetml/2006/main" count="568" uniqueCount="267">
  <si>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</si>
  <si>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</si>
  <si>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</si>
  <si>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</si>
  <si>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</si>
  <si>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</si>
  <si>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</si>
  <si>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</si>
  <si>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</si>
  <si>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</si>
  <si>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</si>
  <si>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</si>
  <si>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</si>
  <si>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</si>
  <si>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</si>
  <si>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</si>
  <si>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</si>
  <si>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</si>
  <si>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</si>
  <si>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</si>
  <si>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</si>
  <si>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</si>
  <si>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</si>
  <si>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</si>
  <si>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</si>
  <si>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</si>
  <si>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</si>
  <si>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Lucro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</si>
  <si>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</si>
  <si>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</si>
  <si>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</si>
  <si>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</si>
  <si>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</si>
  <si>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</si>
  <si>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</si>
  <si>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</si>
  <si>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</si>
  <si>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</si>
  <si>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</si>
  <si>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</si>
  <si>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</si>
  <si>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</si>
  <si>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</si>
  <si>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</si>
  <si>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</si>
  <si>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</si>
  <si>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</si>
  <si>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</si>
  <si>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</si>
  <si>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</si>
  <si>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</si>
  <si>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</si>
  <si>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</si>
  <si>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</si>
  <si>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</si>
  <si>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</si>
  <si>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</si>
  <si>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</si>
  <si>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</si>
  <si>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</si>
  <si>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</si>
  <si>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</si>
  <si>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</si>
  <si>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</si>
  <si>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</si>
  <si>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</si>
  <si>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</si>
  <si>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</si>
  <si>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</si>
  <si>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</si>
  <si>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</si>
  <si>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SESC</t>
  </si>
  <si>
    <t>SENAC</t>
  </si>
  <si>
    <t>Riscos Ambientas do Trabalho</t>
  </si>
  <si>
    <t>2.3</t>
  </si>
  <si>
    <t>Salário-Base</t>
  </si>
  <si>
    <t>13º Salário e Adicional de Férias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</si>
  <si>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</si>
  <si>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</si>
  <si>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</si>
  <si>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</si>
  <si>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</si>
  <si>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</si>
  <si>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</si>
  <si>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</si>
  <si>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</si>
  <si>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</si>
  <si>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</si>
  <si>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</si>
  <si>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</si>
  <si>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</si>
  <si>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</si>
  <si>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</si>
  <si>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</si>
  <si>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</si>
  <si>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Mão de obra</t>
  </si>
  <si>
    <t>Dias no Ano</t>
  </si>
  <si>
    <t>Dias na Semana</t>
  </si>
  <si>
    <t>Hora Normal (em minutos)</t>
  </si>
  <si>
    <t>Valor / %</t>
  </si>
  <si>
    <t>Valor (em R$)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</si>
  <si>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</si>
  <si>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</si>
  <si>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</si>
  <si>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</si>
  <si>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</si>
  <si>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</si>
  <si>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</si>
  <si>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</si>
  <si>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</si>
  <si>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</si>
  <si>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</si>
  <si>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</si>
  <si>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</si>
  <si>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</si>
  <si>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</si>
  <si>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</si>
  <si>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</si>
  <si>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</si>
  <si>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</si>
  <si>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</si>
  <si>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1</t>
  </si>
  <si>
    <t>2</t>
  </si>
  <si>
    <t>Outras Remunerações 2 (Especificar)</t>
  </si>
  <si>
    <t>Outras Remunerações 3 (Especificar)</t>
  </si>
  <si>
    <t>Outros Benefícios 2 (Especificar)</t>
  </si>
  <si>
    <t>Outros Benefícios 3 (Especificar)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</si>
  <si>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</si>
  <si>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</si>
  <si>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</si>
  <si>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</si>
  <si>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</si>
  <si>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TIPO DE ÁREA</t>
  </si>
  <si>
    <t>ÁREA (m²)</t>
  </si>
  <si>
    <t>(C)</t>
  </si>
  <si>
    <t>área interna</t>
  </si>
  <si>
    <t>área externa</t>
  </si>
  <si>
    <t>esquadria externa</t>
  </si>
  <si>
    <t>fachaçada envidraçada</t>
  </si>
  <si>
    <t>área médico hospitalar</t>
  </si>
  <si>
    <t>INFORMAÇÕES SOBRE O LOCAL ONDE OS SERVIÇOS DE LIMPEZA E CONSERVAÇÃO SERÃO EXECUTADOS</t>
  </si>
  <si>
    <t>ÁREAS FÍSICAS A SEREM LIMPAS (em m²)</t>
  </si>
  <si>
    <t>TIPO DE ÁREA
(1)</t>
  </si>
  <si>
    <t>EDIFÍCIO-SEDE</t>
  </si>
  <si>
    <t>ANEXOS</t>
  </si>
  <si>
    <t>PRODUT. (2)</t>
  </si>
  <si>
    <t>FREQUÊNCIA (EM HORAS) (3)</t>
  </si>
  <si>
    <t>(A)</t>
  </si>
  <si>
    <t>(B)</t>
  </si>
  <si>
    <t>D = (A+B+C)</t>
  </si>
  <si>
    <t>QTDE DE SERVENTES/ENCARREGADO (SE FOR O CASO) (4)</t>
  </si>
  <si>
    <t>OBSERVAÇÕES (conforme o Anexo VII-D da IN SEGES/MPDG nº 5/2017)</t>
  </si>
  <si>
    <r>
      <t>(1)</t>
    </r>
    <r>
      <rPr>
        <sz val="11"/>
        <rFont val="Segoe UI Light"/>
        <family val="2"/>
      </rPr>
      <t xml:space="preserve"> Informar as metragens reais da unidade de acordo com os tipos de áreas existentes, incluindo PRMs/PTMs, conforme abrangência da contratação.</t>
    </r>
  </si>
  <si>
    <r>
      <t xml:space="preserve">(2) </t>
    </r>
    <r>
      <rPr>
        <sz val="11"/>
        <rFont val="Segoe UI Light"/>
        <family val="2"/>
      </rPr>
      <t>Caso as produtividades mínimas adotadas sejam diferentes, estes valores das planilhas, bem como os coeficientes deles decorrentes (Ki e Ke), deverão ser adequados à nova situação.</t>
    </r>
  </si>
  <si>
    <r>
      <t>(4)</t>
    </r>
    <r>
      <rPr>
        <sz val="11"/>
        <rFont val="Segoe UI Light"/>
        <family val="2"/>
      </rPr>
      <t xml:space="preserve"> Caso a relação entre serventes e encarregados seja diferente, os valores das planilhas, bem como os coeficientes deles decorrentes (Ki e Ke), deverão ser adequados à nova situação. </t>
    </r>
  </si>
  <si>
    <t>UF</t>
  </si>
  <si>
    <t>A PARTIR DE</t>
  </si>
  <si>
    <t>LIMITE MÍNIMO</t>
  </si>
  <si>
    <t>LIMITE MÁXIMO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</si>
  <si>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</si>
  <si>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</si>
  <si>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</si>
  <si>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</si>
  <si>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</si>
  <si>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</si>
  <si>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</si>
  <si>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</si>
  <si>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</si>
  <si>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</si>
  <si>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</si>
  <si>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</si>
  <si>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</si>
  <si>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</si>
  <si>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</si>
  <si>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</si>
  <si>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</si>
  <si>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</si>
  <si>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</si>
  <si>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</si>
  <si>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</si>
  <si>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</si>
  <si>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</si>
  <si>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</si>
  <si>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</si>
  <si>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</si>
  <si>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</si>
  <si>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MÉDIA</t>
  </si>
  <si>
    <t>MENOR VALOR</t>
  </si>
  <si>
    <t>MAIOR VALOR</t>
  </si>
  <si>
    <t>ÁREA
EXTERNA
(1200 M²)</t>
  </si>
  <si>
    <t>ESQUADRIA EXTERNA
(220 M²)</t>
  </si>
  <si>
    <t>FACHADA ENVIDRAÇADA
(110 M²)</t>
  </si>
  <si>
    <t>Conforme produtividades previstas na Portaria nº 213, de 25 de setembro de 2017.</t>
  </si>
  <si>
    <t>Conforme produtividades previstas na Portaria nº 7, de 13 de abril de 2015.</t>
  </si>
  <si>
    <t>Limpeza e Conservação</t>
  </si>
  <si>
    <t>CUSTOS REFERENTES A SERVIÇOS DE LIMPEZA E CONSERVAÇÃO</t>
  </si>
  <si>
    <t>3</t>
  </si>
  <si>
    <t>5143-20</t>
  </si>
  <si>
    <t>CUSTOS REFERENTES AO SERVENTE</t>
  </si>
  <si>
    <t>PTMs/ PRMs</t>
  </si>
  <si>
    <t>VALOR TOTAL DO SERVENTE</t>
  </si>
  <si>
    <t>Carga Horária Semanal (em horas)</t>
  </si>
  <si>
    <t>Meses no Semestre</t>
  </si>
  <si>
    <t>Adic. Insalub.?</t>
  </si>
  <si>
    <t>Qtde a Contratar</t>
  </si>
  <si>
    <t>Salário Normat. (em R$)</t>
  </si>
  <si>
    <t>Quantidade de Serventes</t>
  </si>
  <si>
    <t>PORTARIA VIGENTE À ÉPOCA DA CONTRATAÇÃO</t>
  </si>
  <si>
    <t>Nº</t>
  </si>
  <si>
    <t xml:space="preserve"> MÍN.</t>
  </si>
  <si>
    <t xml:space="preserve"> MÁX.</t>
  </si>
  <si>
    <t>Outras Ausências (Especificar em %)</t>
  </si>
  <si>
    <t>M²</t>
  </si>
  <si>
    <t>ÁREA
INTERNA</t>
  </si>
  <si>
    <t>ÁREA INTERNA</t>
  </si>
  <si>
    <t>ÁREA EXTERNA</t>
  </si>
  <si>
    <t>ESQUADRIA EXTERNA</t>
  </si>
  <si>
    <t>FACHADA ENVIDRAÇADA</t>
  </si>
  <si>
    <t xml:space="preserve"> M²</t>
  </si>
  <si>
    <t>Outras Remunerações 1 (Especificar)</t>
  </si>
  <si>
    <t>QTDE ESTIMADA DE SERVENTES</t>
  </si>
  <si>
    <t>PRODUTIVIDADE (1/m²)</t>
  </si>
  <si>
    <t>QTDE ESTIMADA</t>
  </si>
  <si>
    <t>(D)</t>
  </si>
  <si>
    <t>E = (C / D)</t>
  </si>
  <si>
    <t>Encarregado de Limpeza</t>
  </si>
  <si>
    <t>Servente</t>
  </si>
  <si>
    <t>XX/XX/20XX</t>
  </si>
  <si>
    <t>HH:MM</t>
  </si>
  <si>
    <t>Outros Benefícios 1 (Especificar)</t>
  </si>
  <si>
    <t>DADOS ESTATÍSTICOS</t>
  </si>
  <si>
    <t>ENCARGOS SOCIAIS E TRABALHISTAS</t>
  </si>
  <si>
    <t>Participação Feminina nos Serviços de Limpeza (em %)</t>
  </si>
  <si>
    <t>Participação Masculina nos Serviços de Limpeza (em %)</t>
  </si>
  <si>
    <r>
      <t>(3)</t>
    </r>
    <r>
      <rPr>
        <sz val="11"/>
        <rFont val="Segoe UI Light"/>
        <family val="2"/>
      </rPr>
      <t xml:space="preserve"> No caso das esquadrias externas, inserir a frequência de horas mensais. Em relação às fachadas envidraçadas, incluir a frequência de horas semestrais.</t>
    </r>
  </si>
  <si>
    <t>Faxineiros demitidos sem justa causa / Total de desligamentos (em %)</t>
  </si>
  <si>
    <t>Memória de Cálculo</t>
  </si>
  <si>
    <t>(1/12) x 100</t>
  </si>
  <si>
    <t>[(1/3)/12] x 100</t>
  </si>
  <si>
    <t>[(56,24%) x 5,55% x (1/12)] x 100</t>
  </si>
  <si>
    <t xml:space="preserve">(1/12) x 100 </t>
  </si>
  <si>
    <t>[(8/30)/12] x 100</t>
  </si>
  <si>
    <t>[(15/30)/12] x 0,44%} x 100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</si>
  <si>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</si>
  <si>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</si>
  <si>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</si>
  <si>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</si>
  <si>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Modalidade de Licitação</t>
  </si>
  <si>
    <t>Nº do Processo</t>
  </si>
  <si>
    <t>Substituto na Intrajornada</t>
  </si>
  <si>
    <t>Submódulo 4.2 - Substituto na Intrajornada</t>
  </si>
  <si>
    <t>Dias / Horas / Minutos</t>
  </si>
  <si>
    <t>Dias / %</t>
  </si>
  <si>
    <t>Minutos / %</t>
  </si>
  <si>
    <t>Atualizado em 06/11/2019</t>
  </si>
  <si>
    <t>[(56,24%) x 94,45% x (7/30)/12] x 100</t>
  </si>
  <si>
    <t>1,03% x 40% x 8,00% x 100</t>
  </si>
  <si>
    <t>Multa do FGTS sobre o Aviso Prévio Trabalhado</t>
  </si>
  <si>
    <t>XX/20XX</t>
  </si>
  <si>
    <t>RAT x FAP*</t>
  </si>
  <si>
    <t>Para mais informações, consulte o Referencial Técnico de Custos, constante da aba PUBLICAÇÕES, na página da Auditoria Interna do MPU na internet (www.auditoria.mpu.mp.br). * FAP - Deverá estar previsto na proposta da empresa licitante e comprovada sua incidência posteriormente.</t>
  </si>
  <si>
    <t>RAMO: CONSELHO NACIONAL DO MINISTÉRIO PÚBLICO</t>
  </si>
  <si>
    <t>UNIDADE GESTORA (SIGLA): CNMP</t>
  </si>
  <si>
    <t>Nº do Processo 19.00.6150.0001856/2023-45</t>
  </si>
  <si>
    <t>19.00.6150.0001856/2023-45</t>
  </si>
  <si>
    <t>12/2024</t>
  </si>
  <si>
    <t>Outros Insumos (Materiais duráveis)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</si>
</sst>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R$&quot;\ #,##0.00;[Red]\-&quot;R$&quot;\ #,##0.00"/>
    <numFmt numFmtId="165" formatCode="#,##0.00_ ;\-#,##0.00\ "/>
    <numFmt numFmtId="166" formatCode="#,##0.0"/>
    <numFmt numFmtId="170" formatCode="dd/mm/yy;@"/>
  </numFmts>
  <fonts count="47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  <font>
      <sz val="10"/>
      <name val="Segoe UI Light"/>
      <family val="2"/>
    </font>
    <font>
      <b/>
      <sz val="14"/>
      <color theme="9" tint="-0.499984740745262"/>
      <name val="Segoe UI Light"/>
      <family val="2"/>
    </font>
    <font>
      <b/>
      <sz val="12"/>
      <color theme="9" tint="-0.499984740745262"/>
      <name val="Segoe UI Light"/>
      <family val="2"/>
    </font>
    <font>
      <sz val="11"/>
      <color theme="0"/>
      <name val="Segoe UI Light"/>
      <family val="2"/>
    </font>
    <font>
      <b/>
      <sz val="18"/>
      <color theme="5" tint="-0.249977111117893"/>
      <name val="Segoe UI Light"/>
      <family val="2"/>
    </font>
    <font>
      <b/>
      <sz val="10"/>
      <color theme="0"/>
      <name val="Segoe UI Light"/>
      <family val="2"/>
    </font>
    <font>
      <sz val="10"/>
      <color theme="0"/>
      <name val="Segoe UI Light"/>
      <family val="2"/>
    </font>
    <font>
      <b/>
      <sz val="10"/>
      <name val="Segoe UI Light"/>
      <family val="2"/>
    </font>
    <font>
      <b/>
      <i/>
      <sz val="10"/>
      <name val="Segoe UI Light"/>
      <family val="2"/>
    </font>
    <font>
      <b/>
      <i/>
      <sz val="10"/>
      <color theme="9" tint="-0.499984740745262"/>
      <name val="Segoe UI Ligh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rgb="FFD55816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rgb="FFD3D3D3"/>
      </right>
      <top style="thin">
        <color theme="0" tint="-4.9989318521683403E-2"/>
      </top>
      <bottom/>
      <diagonal/>
    </border>
    <border>
      <left style="thin">
        <color rgb="FFD3D3D3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/>
      <right style="medium">
        <color rgb="FFE8E7E7"/>
      </right>
      <top style="medium">
        <color rgb="FFE8E7E7"/>
      </top>
      <bottom style="medium">
        <color rgb="FFE8E7E7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18" fillId="0" borderId="0" applyFont="0" applyFill="0" applyBorder="0" applyAlignment="0" applyProtection="0"/>
  </cellStyleXfs>
  <cellXfs count="298">
    <xf numFmtId="0" fontId="0" fillId="0" borderId="0" xfId="0"/>
    <xf numFmtId="0" fontId="24" fillId="27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4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4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 vertical="center" wrapText="1"/>
    </xf>
    <xf numFmtId="39" fontId="23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25" borderId="0" xfId="0" applyFont="1" applyFill="1" applyAlignment="1">
      <alignment horizontal="left" vertical="center"/>
    </xf>
    <xf numFmtId="0" fontId="27" fillId="25" borderId="0" xfId="0" applyFont="1" applyFill="1" applyAlignment="1">
      <alignment horizontal="left" vertical="center" wrapText="1"/>
    </xf>
    <xf numFmtId="39" fontId="27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4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4" fillId="27" borderId="10" xfId="0" applyNumberFormat="1" applyFont="1" applyFill="1" applyBorder="1" applyAlignment="1">
      <alignment horizontal="center" vertical="center"/>
    </xf>
    <xf numFmtId="4" fontId="24" fillId="34" borderId="10" xfId="0" applyNumberFormat="1" applyFont="1" applyFill="1" applyBorder="1" applyAlignment="1">
      <alignment horizontal="right" vertical="center" wrapText="1"/>
    </xf>
    <xf numFmtId="4" fontId="24" fillId="27" borderId="10" xfId="0" applyNumberFormat="1" applyFont="1" applyFill="1" applyBorder="1" applyAlignment="1">
      <alignment horizontal="right"/>
    </xf>
    <xf numFmtId="4" fontId="24" fillId="27" borderId="10" xfId="0" applyNumberFormat="1" applyFont="1" applyFill="1" applyBorder="1" applyAlignment="1">
      <alignment horizontal="right" vertical="center"/>
    </xf>
    <xf numFmtId="4" fontId="24" fillId="34" borderId="11" xfId="0" applyNumberFormat="1" applyFont="1" applyFill="1" applyBorder="1" applyAlignment="1">
      <alignment horizontal="right" vertical="center" wrapText="1"/>
    </xf>
    <xf numFmtId="0" fontId="24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center" vertical="center"/>
    </xf>
    <xf numFmtId="0" fontId="24" fillId="28" borderId="11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left"/>
    </xf>
    <xf numFmtId="0" fontId="31" fillId="25" borderId="0" xfId="0" applyFont="1" applyFill="1" applyAlignment="1">
      <alignment horizontal="left" vertical="center"/>
    </xf>
    <xf numFmtId="165" fontId="19" fillId="29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/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3" fillId="35" borderId="10" xfId="0" applyNumberFormat="1" applyFont="1" applyFill="1" applyBorder="1" applyAlignment="1">
      <alignment horizontal="center" vertical="center" wrapText="1"/>
    </xf>
    <xf numFmtId="39" fontId="23" fillId="29" borderId="10" xfId="0" applyNumberFormat="1" applyFont="1" applyFill="1" applyBorder="1" applyAlignment="1">
      <alignment horizontal="right" vertical="center" wrapText="1"/>
    </xf>
    <xf numFmtId="39" fontId="23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4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24" fillId="27" borderId="13" xfId="0" applyFont="1" applyFill="1" applyBorder="1" applyAlignment="1">
      <alignment horizontal="center" vertical="center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6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0" fontId="19" fillId="30" borderId="13" xfId="0" applyFont="1" applyFill="1" applyBorder="1" applyAlignment="1" applyProtection="1">
      <alignment horizontal="center"/>
      <protection locked="0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0" fontId="24" fillId="27" borderId="12" xfId="0" applyFont="1" applyFill="1" applyBorder="1" applyAlignment="1">
      <alignment horizontal="center" vertical="center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37" fillId="27" borderId="10" xfId="0" applyFont="1" applyFill="1" applyBorder="1" applyAlignment="1">
      <alignment vertical="center"/>
    </xf>
    <xf numFmtId="0" fontId="21" fillId="26" borderId="0" xfId="0" applyFont="1" applyFill="1" applyAlignment="1">
      <alignment vertical="center"/>
    </xf>
    <xf numFmtId="4" fontId="19" fillId="35" borderId="10" xfId="0" applyNumberFormat="1" applyFont="1" applyFill="1" applyBorder="1" applyAlignment="1">
      <alignment horizontal="center" vertical="center"/>
    </xf>
    <xf numFmtId="2" fontId="19" fillId="35" borderId="10" xfId="0" applyNumberFormat="1" applyFont="1" applyFill="1" applyBorder="1" applyAlignment="1">
      <alignment horizontal="center" vertical="center"/>
    </xf>
    <xf numFmtId="4" fontId="19" fillId="29" borderId="10" xfId="0" applyNumberFormat="1" applyFont="1" applyFill="1" applyBorder="1" applyAlignment="1">
      <alignment horizontal="center" vertical="center"/>
    </xf>
    <xf numFmtId="0" fontId="40" fillId="34" borderId="10" xfId="0" applyFont="1" applyFill="1" applyBorder="1" applyAlignment="1">
      <alignment vertical="center"/>
    </xf>
    <xf numFmtId="4" fontId="19" fillId="32" borderId="10" xfId="0" applyNumberFormat="1" applyFont="1" applyFill="1" applyBorder="1" applyAlignment="1" applyProtection="1">
      <alignment horizontal="center" vertical="center"/>
      <protection locked="0"/>
    </xf>
    <xf numFmtId="4" fontId="19" fillId="32" borderId="10" xfId="43" applyNumberFormat="1" applyFont="1" applyFill="1" applyBorder="1" applyAlignment="1" applyProtection="1">
      <alignment horizontal="center" vertical="center"/>
      <protection locked="0"/>
    </xf>
    <xf numFmtId="4" fontId="24" fillId="27" borderId="10" xfId="0" applyNumberFormat="1" applyFont="1" applyFill="1" applyBorder="1" applyAlignment="1">
      <alignment horizontal="center" vertical="center"/>
    </xf>
    <xf numFmtId="3" fontId="19" fillId="32" borderId="10" xfId="0" applyNumberFormat="1" applyFont="1" applyFill="1" applyBorder="1" applyAlignment="1" applyProtection="1">
      <alignment horizontal="center" vertical="center"/>
      <protection locked="0"/>
    </xf>
    <xf numFmtId="0" fontId="19" fillId="32" borderId="10" xfId="0" applyFont="1" applyFill="1" applyBorder="1" applyAlignment="1" applyProtection="1">
      <alignment horizontal="center" vertical="center"/>
      <protection locked="0"/>
    </xf>
    <xf numFmtId="4" fontId="24" fillId="38" borderId="10" xfId="0" applyNumberFormat="1" applyFont="1" applyFill="1" applyBorder="1" applyAlignment="1">
      <alignment horizontal="center" vertical="center"/>
    </xf>
    <xf numFmtId="0" fontId="41" fillId="37" borderId="0" xfId="0" applyFont="1" applyFill="1" applyAlignment="1">
      <alignment horizontal="left" vertical="center" wrapText="1"/>
    </xf>
    <xf numFmtId="0" fontId="19" fillId="0" borderId="0" xfId="0" applyFont="1"/>
    <xf numFmtId="0" fontId="42" fillId="0" borderId="0" xfId="0" applyFont="1" applyAlignment="1">
      <alignment horizontal="right"/>
    </xf>
    <xf numFmtId="0" fontId="24" fillId="38" borderId="25" xfId="0" applyFont="1" applyFill="1" applyBorder="1" applyAlignment="1">
      <alignment horizontal="center" vertical="center" wrapText="1"/>
    </xf>
    <xf numFmtId="14" fontId="24" fillId="27" borderId="10" xfId="0" applyNumberFormat="1" applyFont="1" applyFill="1" applyBorder="1" applyAlignment="1">
      <alignment horizontal="center" vertical="center"/>
    </xf>
    <xf numFmtId="4" fontId="19" fillId="39" borderId="10" xfId="0" applyNumberFormat="1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center" vertical="center" wrapText="1"/>
    </xf>
    <xf numFmtId="0" fontId="36" fillId="25" borderId="0" xfId="0" applyFont="1" applyFill="1" applyAlignment="1">
      <alignment vertical="center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4" fontId="19" fillId="30" borderId="13" xfId="0" applyNumberFormat="1" applyFont="1" applyFill="1" applyBorder="1" applyAlignment="1" applyProtection="1">
      <alignment vertical="center" wrapText="1"/>
      <protection locked="0"/>
    </xf>
    <xf numFmtId="0" fontId="24" fillId="27" borderId="12" xfId="0" applyFont="1" applyFill="1" applyBorder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30" borderId="10" xfId="0" applyNumberFormat="1" applyFont="1" applyFill="1" applyBorder="1" applyAlignment="1" applyProtection="1">
      <alignment horizontal="center" vertical="center"/>
      <protection locked="0"/>
    </xf>
    <xf numFmtId="0" fontId="39" fillId="28" borderId="12" xfId="0" applyFont="1" applyFill="1" applyBorder="1" applyAlignment="1">
      <alignment vertical="center" wrapText="1"/>
    </xf>
    <xf numFmtId="170" fontId="24" fillId="27" borderId="10" xfId="0" applyNumberFormat="1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vertical="center" wrapText="1"/>
    </xf>
    <xf numFmtId="0" fontId="24" fillId="38" borderId="31" xfId="0" applyFont="1" applyFill="1" applyBorder="1" applyAlignment="1">
      <alignment vertical="center" wrapText="1"/>
    </xf>
    <xf numFmtId="0" fontId="24" fillId="38" borderId="13" xfId="0" applyFont="1" applyFill="1" applyBorder="1" applyAlignment="1">
      <alignment horizontal="right" vertical="center" wrapText="1"/>
    </xf>
    <xf numFmtId="0" fontId="24" fillId="38" borderId="12" xfId="0" applyFont="1" applyFill="1" applyBorder="1" applyAlignment="1">
      <alignment horizontal="left" vertical="center" wrapText="1"/>
    </xf>
    <xf numFmtId="0" fontId="24" fillId="38" borderId="14" xfId="0" applyFont="1" applyFill="1" applyBorder="1" applyAlignment="1">
      <alignment horizontal="left" vertical="center" wrapText="1"/>
    </xf>
    <xf numFmtId="3" fontId="24" fillId="28" borderId="10" xfId="43" applyNumberFormat="1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21" fillId="26" borderId="0" xfId="0" applyFont="1" applyFill="1"/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2" fillId="26" borderId="0" xfId="0" applyFont="1" applyFill="1" applyAlignment="1">
      <alignment horizontal="center" vertical="center"/>
    </xf>
    <xf numFmtId="0" fontId="21" fillId="26" borderId="0" xfId="0" applyFont="1" applyFill="1" applyAlignment="1">
      <alignment horizontal="center" vertical="center"/>
    </xf>
    <xf numFmtId="0" fontId="19" fillId="25" borderId="0" xfId="0" applyFont="1" applyFill="1" applyAlignment="1">
      <alignment horizontal="center"/>
    </xf>
    <xf numFmtId="14" fontId="19" fillId="26" borderId="0" xfId="0" applyNumberFormat="1" applyFont="1" applyFill="1" applyAlignment="1">
      <alignment horizontal="center"/>
    </xf>
    <xf numFmtId="0" fontId="26" fillId="25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wrapText="1"/>
    </xf>
    <xf numFmtId="0" fontId="25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0" fontId="26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7" fillId="25" borderId="0" xfId="0" applyFont="1" applyFill="1"/>
    <xf numFmtId="0" fontId="19" fillId="25" borderId="0" xfId="0" applyFont="1" applyFill="1" applyAlignment="1">
      <alignment vertical="center"/>
    </xf>
    <xf numFmtId="39" fontId="21" fillId="26" borderId="0" xfId="0" applyNumberFormat="1" applyFont="1" applyFill="1" applyAlignment="1">
      <alignment vertical="center"/>
    </xf>
    <xf numFmtId="39" fontId="21" fillId="25" borderId="0" xfId="0" applyNumberFormat="1" applyFont="1" applyFill="1" applyAlignment="1">
      <alignment vertical="center"/>
    </xf>
    <xf numFmtId="0" fontId="27" fillId="25" borderId="0" xfId="0" applyFont="1" applyFill="1" applyAlignment="1">
      <alignment vertical="center"/>
    </xf>
    <xf numFmtId="0" fontId="34" fillId="26" borderId="0" xfId="0" applyFont="1" applyFill="1" applyAlignment="1">
      <alignment vertical="center"/>
    </xf>
    <xf numFmtId="0" fontId="25" fillId="25" borderId="0" xfId="0" applyFont="1" applyFill="1" applyAlignment="1">
      <alignment vertical="center"/>
    </xf>
    <xf numFmtId="0" fontId="25" fillId="25" borderId="0" xfId="0" applyFont="1" applyFill="1" applyAlignment="1">
      <alignment vertical="center" wrapText="1"/>
    </xf>
    <xf numFmtId="0" fontId="25" fillId="25" borderId="0" xfId="0" applyFont="1" applyFill="1" applyAlignment="1">
      <alignment horizontal="center" vertical="center" wrapText="1"/>
    </xf>
    <xf numFmtId="0" fontId="19" fillId="25" borderId="0" xfId="0" applyFont="1" applyFill="1" applyAlignment="1">
      <alignment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2" fontId="19" fillId="31" borderId="10" xfId="0" applyNumberFormat="1" applyFont="1" applyFill="1" applyBorder="1" applyAlignment="1">
      <alignment horizontal="center"/>
    </xf>
    <xf numFmtId="14" fontId="20" fillId="30" borderId="14" xfId="0" applyNumberFormat="1" applyFont="1" applyFill="1" applyBorder="1" applyProtection="1">
      <protection locked="0"/>
    </xf>
    <xf numFmtId="0" fontId="20" fillId="31" borderId="13" xfId="0" applyFont="1" applyFill="1" applyBorder="1" applyAlignment="1">
      <alignment horizontal="right"/>
    </xf>
    <xf numFmtId="49" fontId="19" fillId="36" borderId="13" xfId="0" applyNumberFormat="1" applyFont="1" applyFill="1" applyBorder="1" applyAlignment="1">
      <alignment vertical="center" wrapText="1"/>
    </xf>
    <xf numFmtId="49" fontId="19" fillId="31" borderId="13" xfId="0" applyNumberFormat="1" applyFont="1" applyFill="1" applyBorder="1" applyAlignment="1">
      <alignment vertical="center" wrapText="1"/>
    </xf>
    <xf numFmtId="14" fontId="19" fillId="31" borderId="10" xfId="0" applyNumberFormat="1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 vertical="center"/>
    </xf>
    <xf numFmtId="166" fontId="19" fillId="35" borderId="10" xfId="0" applyNumberFormat="1" applyFont="1" applyFill="1" applyBorder="1" applyAlignment="1">
      <alignment horizontal="center" vertical="center"/>
    </xf>
    <xf numFmtId="166" fontId="19" fillId="29" borderId="1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right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64" fontId="45" fillId="40" borderId="32" xfId="0" applyNumberFormat="1" applyFont="1" applyFill="1" applyBorder="1" applyAlignment="1">
      <alignment horizontal="center" vertical="center" wrapText="1"/>
    </xf>
    <xf numFmtId="164" fontId="44" fillId="40" borderId="33" xfId="0" applyNumberFormat="1" applyFont="1" applyFill="1" applyBorder="1" applyAlignment="1">
      <alignment horizontal="center" vertical="center" wrapText="1"/>
    </xf>
    <xf numFmtId="164" fontId="45" fillId="40" borderId="3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46" fillId="0" borderId="0" xfId="0" applyNumberFormat="1" applyFont="1" applyAlignment="1">
      <alignment vertical="center"/>
    </xf>
    <xf numFmtId="4" fontId="46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6" borderId="10" xfId="0" applyFont="1" applyFill="1" applyBorder="1" applyAlignment="1">
      <alignment horizontal="left"/>
    </xf>
    <xf numFmtId="0" fontId="19" fillId="29" borderId="10" xfId="0" applyFont="1" applyFill="1" applyBorder="1" applyAlignment="1">
      <alignment horizontal="left"/>
    </xf>
    <xf numFmtId="0" fontId="19" fillId="35" borderId="13" xfId="0" applyFont="1" applyFill="1" applyBorder="1" applyAlignment="1">
      <alignment horizontal="left"/>
    </xf>
    <xf numFmtId="0" fontId="19" fillId="35" borderId="14" xfId="0" applyFont="1" applyFill="1" applyBorder="1" applyAlignment="1">
      <alignment horizontal="left"/>
    </xf>
    <xf numFmtId="0" fontId="19" fillId="35" borderId="12" xfId="0" applyFont="1" applyFill="1" applyBorder="1" applyAlignment="1">
      <alignment horizontal="left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4" fillId="28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left"/>
    </xf>
    <xf numFmtId="0" fontId="19" fillId="29" borderId="13" xfId="0" applyFont="1" applyFill="1" applyBorder="1" applyAlignment="1" applyProtection="1">
      <alignment horizontal="center"/>
      <protection locked="0"/>
    </xf>
    <xf numFmtId="0" fontId="19" fillId="29" borderId="14" xfId="0" applyFont="1" applyFill="1" applyBorder="1" applyAlignment="1" applyProtection="1">
      <alignment horizontal="center"/>
      <protection locked="0"/>
    </xf>
    <xf numFmtId="0" fontId="19" fillId="29" borderId="12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4" xfId="0" applyNumberFormat="1" applyFont="1" applyFill="1" applyBorder="1" applyAlignment="1" applyProtection="1">
      <alignment horizontal="left" vertical="center" wrapText="1"/>
      <protection locked="0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6" fillId="25" borderId="0" xfId="0" applyFont="1" applyFill="1" applyAlignment="1">
      <alignment horizontal="center"/>
    </xf>
    <xf numFmtId="0" fontId="24" fillId="27" borderId="15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0" fontId="38" fillId="25" borderId="0" xfId="0" applyFont="1" applyFill="1" applyAlignment="1">
      <alignment horizontal="center" vertical="center" wrapText="1"/>
    </xf>
    <xf numFmtId="0" fontId="39" fillId="28" borderId="10" xfId="0" applyFont="1" applyFill="1" applyBorder="1" applyAlignment="1">
      <alignment horizontal="center" vertical="center" wrapText="1"/>
    </xf>
    <xf numFmtId="0" fontId="24" fillId="27" borderId="17" xfId="0" applyFont="1" applyFill="1" applyBorder="1" applyAlignment="1">
      <alignment horizontal="center" vertical="center" wrapText="1"/>
    </xf>
    <xf numFmtId="0" fontId="24" fillId="27" borderId="18" xfId="0" applyFont="1" applyFill="1" applyBorder="1" applyAlignment="1">
      <alignment horizontal="center" vertical="center" wrapText="1"/>
    </xf>
    <xf numFmtId="0" fontId="24" fillId="27" borderId="15" xfId="0" applyFont="1" applyFill="1" applyBorder="1" applyAlignment="1">
      <alignment horizontal="center" vertical="center" wrapText="1"/>
    </xf>
    <xf numFmtId="0" fontId="39" fillId="28" borderId="17" xfId="0" applyFont="1" applyFill="1" applyBorder="1" applyAlignment="1">
      <alignment horizontal="center" vertical="center" wrapText="1"/>
    </xf>
    <xf numFmtId="0" fontId="39" fillId="28" borderId="15" xfId="0" applyFont="1" applyFill="1" applyBorder="1" applyAlignment="1">
      <alignment horizontal="center" vertical="center" wrapText="1"/>
    </xf>
    <xf numFmtId="0" fontId="39" fillId="28" borderId="18" xfId="0" applyFont="1" applyFill="1" applyBorder="1" applyAlignment="1">
      <alignment horizontal="center" vertical="center" wrapText="1"/>
    </xf>
    <xf numFmtId="0" fontId="39" fillId="28" borderId="13" xfId="0" applyFont="1" applyFill="1" applyBorder="1" applyAlignment="1">
      <alignment horizontal="right" vertical="center" wrapText="1"/>
    </xf>
    <xf numFmtId="0" fontId="39" fillId="28" borderId="14" xfId="0" applyFont="1" applyFill="1" applyBorder="1" applyAlignment="1">
      <alignment horizontal="right" vertical="center" wrapText="1"/>
    </xf>
    <xf numFmtId="0" fontId="22" fillId="36" borderId="0" xfId="0" applyFont="1" applyFill="1" applyAlignment="1">
      <alignment horizontal="justify" vertical="center" wrapText="1"/>
    </xf>
    <xf numFmtId="0" fontId="22" fillId="36" borderId="28" xfId="0" applyFont="1" applyFill="1" applyBorder="1" applyAlignment="1">
      <alignment horizontal="justify" vertical="center" wrapText="1"/>
    </xf>
    <xf numFmtId="0" fontId="22" fillId="31" borderId="0" xfId="0" applyFont="1" applyFill="1" applyAlignment="1">
      <alignment horizontal="justify" vertical="center" wrapText="1"/>
    </xf>
    <xf numFmtId="0" fontId="22" fillId="31" borderId="28" xfId="0" applyFont="1" applyFill="1" applyBorder="1" applyAlignment="1">
      <alignment horizontal="justify" vertical="center" wrapText="1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37" fillId="38" borderId="10" xfId="0" applyFont="1" applyFill="1" applyBorder="1" applyAlignment="1">
      <alignment horizontal="center" vertical="center"/>
    </xf>
    <xf numFmtId="0" fontId="39" fillId="28" borderId="13" xfId="0" applyFont="1" applyFill="1" applyBorder="1" applyAlignment="1">
      <alignment horizontal="left" vertical="center" wrapText="1"/>
    </xf>
    <xf numFmtId="0" fontId="39" fillId="28" borderId="14" xfId="0" applyFont="1" applyFill="1" applyBorder="1" applyAlignment="1">
      <alignment horizontal="left" vertical="center" wrapText="1"/>
    </xf>
    <xf numFmtId="0" fontId="39" fillId="28" borderId="12" xfId="0" applyFont="1" applyFill="1" applyBorder="1" applyAlignment="1">
      <alignment horizontal="left" vertical="center" wrapText="1"/>
    </xf>
    <xf numFmtId="0" fontId="24" fillId="38" borderId="13" xfId="0" applyFont="1" applyFill="1" applyBorder="1" applyAlignment="1">
      <alignment horizontal="center" vertical="center" wrapText="1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2" xfId="0" applyFont="1" applyFill="1" applyBorder="1" applyAlignment="1">
      <alignment horizontal="center" vertical="center" wrapText="1"/>
    </xf>
    <xf numFmtId="0" fontId="22" fillId="36" borderId="19" xfId="0" applyFont="1" applyFill="1" applyBorder="1" applyAlignment="1">
      <alignment horizontal="justify" vertical="center" wrapText="1"/>
    </xf>
    <xf numFmtId="0" fontId="22" fillId="36" borderId="20" xfId="0" applyFont="1" applyFill="1" applyBorder="1" applyAlignment="1">
      <alignment horizontal="justify" vertical="center" wrapText="1"/>
    </xf>
    <xf numFmtId="0" fontId="22" fillId="36" borderId="21" xfId="0" applyFont="1" applyFill="1" applyBorder="1" applyAlignment="1">
      <alignment horizontal="justify" vertical="center" wrapText="1"/>
    </xf>
    <xf numFmtId="0" fontId="19" fillId="35" borderId="10" xfId="0" applyFont="1" applyFill="1" applyBorder="1" applyAlignment="1">
      <alignment horizontal="center"/>
    </xf>
    <xf numFmtId="0" fontId="24" fillId="28" borderId="13" xfId="0" applyFont="1" applyFill="1" applyBorder="1" applyAlignment="1">
      <alignment horizontal="left" vertical="center" wrapText="1"/>
    </xf>
    <xf numFmtId="0" fontId="24" fillId="28" borderId="12" xfId="0" applyFont="1" applyFill="1" applyBorder="1" applyAlignment="1">
      <alignment horizontal="left" vertical="center" wrapText="1"/>
    </xf>
    <xf numFmtId="0" fontId="19" fillId="25" borderId="0" xfId="0" applyFont="1" applyFill="1" applyAlignment="1">
      <alignment horizontal="justify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30" fillId="25" borderId="0" xfId="0" applyFont="1" applyFill="1" applyAlignment="1">
      <alignment horizontal="left" wrapText="1"/>
    </xf>
    <xf numFmtId="0" fontId="24" fillId="27" borderId="13" xfId="0" applyFont="1" applyFill="1" applyBorder="1" applyAlignment="1">
      <alignment horizontal="left" vertical="center" wrapText="1"/>
    </xf>
    <xf numFmtId="0" fontId="24" fillId="27" borderId="14" xfId="0" applyFont="1" applyFill="1" applyBorder="1" applyAlignment="1">
      <alignment horizontal="left" vertical="center" wrapText="1"/>
    </xf>
    <xf numFmtId="0" fontId="24" fillId="27" borderId="12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4" fillId="27" borderId="13" xfId="0" applyFont="1" applyFill="1" applyBorder="1" applyAlignment="1">
      <alignment horizontal="left" vertical="center"/>
    </xf>
    <xf numFmtId="0" fontId="24" fillId="27" borderId="14" xfId="0" applyFont="1" applyFill="1" applyBorder="1" applyAlignment="1">
      <alignment horizontal="left" vertical="center"/>
    </xf>
    <xf numFmtId="0" fontId="24" fillId="27" borderId="12" xfId="0" applyFont="1" applyFill="1" applyBorder="1" applyAlignment="1">
      <alignment horizontal="left" vertical="center"/>
    </xf>
    <xf numFmtId="0" fontId="24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left" vertical="center"/>
    </xf>
    <xf numFmtId="39" fontId="19" fillId="35" borderId="10" xfId="0" applyNumberFormat="1" applyFont="1" applyFill="1" applyBorder="1" applyAlignment="1">
      <alignment horizontal="left" vertical="center" wrapText="1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justify" vertical="center"/>
    </xf>
    <xf numFmtId="0" fontId="19" fillId="29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justify" vertical="center" wrapText="1"/>
    </xf>
    <xf numFmtId="0" fontId="30" fillId="25" borderId="20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justify" vertical="center"/>
    </xf>
    <xf numFmtId="0" fontId="24" fillId="27" borderId="10" xfId="0" applyFont="1" applyFill="1" applyBorder="1" applyAlignment="1">
      <alignment horizontal="left" vertical="center" wrapText="1"/>
    </xf>
    <xf numFmtId="0" fontId="19" fillId="31" borderId="10" xfId="0" applyFont="1" applyFill="1" applyBorder="1" applyAlignment="1">
      <alignment horizontal="right"/>
    </xf>
    <xf numFmtId="0" fontId="32" fillId="0" borderId="0" xfId="0" applyFont="1" applyAlignment="1">
      <alignment horizont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33" fillId="25" borderId="0" xfId="0" applyFont="1" applyFill="1" applyAlignment="1">
      <alignment horizontal="center" vertical="center"/>
    </xf>
    <xf numFmtId="0" fontId="19" fillId="29" borderId="10" xfId="0" applyFont="1" applyFill="1" applyBorder="1" applyAlignment="1">
      <alignment horizontal="center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0" fontId="30" fillId="25" borderId="0" xfId="0" applyFont="1" applyFill="1" applyAlignment="1">
      <alignment horizontal="justify" vertical="center" wrapText="1"/>
    </xf>
    <xf numFmtId="0" fontId="24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0" fontId="23" fillId="29" borderId="10" xfId="0" applyFont="1" applyFill="1" applyBorder="1" applyAlignment="1">
      <alignment horizontal="left" vertical="center" wrapText="1" indent="1"/>
    </xf>
    <xf numFmtId="0" fontId="23" fillId="35" borderId="10" xfId="0" applyFont="1" applyFill="1" applyBorder="1" applyAlignment="1">
      <alignment horizontal="left" vertical="center" wrapText="1" indent="1"/>
    </xf>
    <xf numFmtId="0" fontId="24" fillId="28" borderId="10" xfId="0" applyFont="1" applyFill="1" applyBorder="1" applyAlignment="1">
      <alignment horizontal="center" vertical="center" wrapText="1"/>
    </xf>
    <xf numFmtId="0" fontId="24" fillId="28" borderId="25" xfId="0" applyFont="1" applyFill="1" applyBorder="1" applyAlignment="1">
      <alignment horizontal="left" vertical="center"/>
    </xf>
    <xf numFmtId="0" fontId="24" fillId="28" borderId="0" xfId="0" applyFont="1" applyFill="1" applyAlignment="1">
      <alignment horizontal="left" vertical="center"/>
    </xf>
    <xf numFmtId="0" fontId="24" fillId="28" borderId="28" xfId="0" applyFont="1" applyFill="1" applyBorder="1" applyAlignment="1">
      <alignment horizontal="left" vertical="center"/>
    </xf>
    <xf numFmtId="0" fontId="24" fillId="28" borderId="21" xfId="0" applyFont="1" applyFill="1" applyBorder="1" applyAlignment="1">
      <alignment horizontal="center" vertical="center" wrapText="1"/>
    </xf>
    <xf numFmtId="0" fontId="24" fillId="28" borderId="31" xfId="0" applyFont="1" applyFill="1" applyBorder="1" applyAlignment="1">
      <alignment horizontal="center" vertical="center" wrapText="1"/>
    </xf>
    <xf numFmtId="0" fontId="24" fillId="38" borderId="19" xfId="0" applyFont="1" applyFill="1" applyBorder="1" applyAlignment="1">
      <alignment horizontal="center" vertical="center" wrapText="1"/>
    </xf>
    <xf numFmtId="0" fontId="24" fillId="38" borderId="21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 wrapText="1"/>
    </xf>
    <xf numFmtId="0" fontId="24" fillId="27" borderId="12" xfId="0" applyFont="1" applyFill="1" applyBorder="1" applyAlignment="1">
      <alignment horizontal="center" vertical="center" wrapText="1"/>
    </xf>
    <xf numFmtId="0" fontId="24" fillId="38" borderId="19" xfId="0" applyFont="1" applyFill="1" applyBorder="1" applyAlignment="1">
      <alignment horizontal="center" vertical="center"/>
    </xf>
    <xf numFmtId="0" fontId="24" fillId="38" borderId="25" xfId="0" applyFont="1" applyFill="1" applyBorder="1" applyAlignment="1">
      <alignment horizontal="center" vertical="center"/>
    </xf>
    <xf numFmtId="0" fontId="24" fillId="38" borderId="22" xfId="0" applyFont="1" applyFill="1" applyBorder="1" applyAlignment="1">
      <alignment horizontal="center" vertical="center"/>
    </xf>
    <xf numFmtId="0" fontId="24" fillId="38" borderId="17" xfId="0" applyFont="1" applyFill="1" applyBorder="1" applyAlignment="1">
      <alignment horizontal="center" vertical="center" wrapText="1"/>
    </xf>
    <xf numFmtId="0" fontId="24" fillId="38" borderId="18" xfId="0" applyFont="1" applyFill="1" applyBorder="1" applyAlignment="1">
      <alignment horizontal="center" vertical="center" wrapText="1"/>
    </xf>
    <xf numFmtId="0" fontId="24" fillId="38" borderId="15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/>
    </xf>
    <xf numFmtId="0" fontId="24" fillId="27" borderId="12" xfId="0" applyFont="1" applyFill="1" applyBorder="1" applyAlignment="1">
      <alignment horizontal="center" vertical="center"/>
    </xf>
    <xf numFmtId="0" fontId="24" fillId="38" borderId="24" xfId="0" applyFont="1" applyFill="1" applyBorder="1" applyAlignment="1">
      <alignment horizontal="center" vertical="center" wrapText="1"/>
    </xf>
    <xf numFmtId="0" fontId="24" fillId="38" borderId="20" xfId="0" applyFont="1" applyFill="1" applyBorder="1" applyAlignment="1">
      <alignment horizontal="center" vertical="center" wrapText="1"/>
    </xf>
    <xf numFmtId="0" fontId="24" fillId="38" borderId="23" xfId="0" applyFont="1" applyFill="1" applyBorder="1" applyAlignment="1">
      <alignment horizontal="center" vertical="center" wrapText="1"/>
    </xf>
    <xf numFmtId="0" fontId="24" fillId="38" borderId="27" xfId="0" applyFont="1" applyFill="1" applyBorder="1" applyAlignment="1">
      <alignment horizontal="center" vertical="center" wrapText="1"/>
    </xf>
    <xf numFmtId="0" fontId="24" fillId="38" borderId="29" xfId="0" applyFont="1" applyFill="1" applyBorder="1" applyAlignment="1">
      <alignment horizontal="center" vertical="center" wrapText="1"/>
    </xf>
    <xf numFmtId="0" fontId="24" fillId="38" borderId="26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 wrapText="1"/>
    </xf>
    <xf numFmtId="0" fontId="24" fillId="38" borderId="16" xfId="0" applyFont="1" applyFill="1" applyBorder="1" applyAlignment="1">
      <alignment horizontal="center" vertical="center" wrapText="1"/>
    </xf>
    <xf numFmtId="0" fontId="24" fillId="38" borderId="30" xfId="0" applyFont="1" applyFill="1" applyBorder="1" applyAlignment="1">
      <alignment horizontal="center" vertical="center" wrapText="1"/>
    </xf>
    <xf numFmtId="0" fontId="35" fillId="25" borderId="16" xfId="0" applyFont="1" applyFill="1" applyBorder="1" applyAlignment="1">
      <alignment horizontal="center" vertical="center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/>
    <cellStyle name="Título 1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topLeftCell="B1" workbookViewId="0">
      <selection activeCell="F69" sqref="F69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9.6640625" style="9" customWidth="1"/>
    <col min="5" max="5" width="12" style="9" customWidth="1"/>
    <col min="6" max="6" width="17" style="9" customWidth="1"/>
    <col min="7" max="7" width="9.109375" style="6"/>
    <col min="8" max="8" width="20.6640625" style="6" customWidth="1"/>
    <col min="9" max="9" width="11.88671875" style="6" customWidth="1"/>
    <col min="10" max="10" width="11.5546875" style="6" customWidth="1"/>
    <col min="11" max="11" width="12.109375" style="6" customWidth="1"/>
    <col min="12" max="12" width="13" style="6" customWidth="1"/>
    <col min="13" max="13" width="9.5546875" style="6" customWidth="1"/>
    <col min="14" max="14" width="12.5546875" style="6" customWidth="1"/>
    <col min="15" max="16384" width="9.109375" style="6"/>
  </cols>
  <sheetData>
    <row r="1" spans="2:14" ht="20.399999999999999" x14ac:dyDescent="0.45">
      <c r="B1" s="176" t="s">
        <v>261</v>
      </c>
      <c r="C1" s="177"/>
      <c r="D1" s="177"/>
      <c r="E1" s="177"/>
      <c r="F1" s="178"/>
      <c r="H1" s="182" t="s">
        <v>140</v>
      </c>
      <c r="I1" s="182"/>
      <c r="J1" s="182"/>
      <c r="K1" s="182"/>
      <c r="L1" s="182"/>
      <c r="M1" s="182"/>
      <c r="N1" s="182"/>
    </row>
    <row r="2" spans="2:14" ht="20.399999999999999" x14ac:dyDescent="0.45">
      <c r="B2" s="176" t="s">
        <v>262</v>
      </c>
      <c r="C2" s="177"/>
      <c r="D2" s="178"/>
      <c r="E2" s="138" t="s">
        <v>47</v>
      </c>
      <c r="F2" s="137">
        <v>45313</v>
      </c>
      <c r="H2" s="182"/>
      <c r="I2" s="182"/>
      <c r="J2" s="182"/>
      <c r="K2" s="182"/>
      <c r="L2" s="182"/>
      <c r="M2" s="182"/>
      <c r="N2" s="182"/>
    </row>
    <row r="3" spans="2:14" x14ac:dyDescent="0.4">
      <c r="B3" s="107"/>
      <c r="C3" s="107"/>
      <c r="D3" s="107"/>
      <c r="E3" s="107"/>
      <c r="F3" s="107"/>
      <c r="H3" s="182"/>
      <c r="I3" s="182"/>
      <c r="J3" s="182"/>
      <c r="K3" s="182"/>
      <c r="L3" s="182"/>
      <c r="M3" s="182"/>
      <c r="N3" s="182"/>
    </row>
    <row r="4" spans="2:14" s="107" customFormat="1" ht="25.5" customHeight="1" x14ac:dyDescent="0.55000000000000004">
      <c r="B4" s="179" t="s">
        <v>195</v>
      </c>
      <c r="C4" s="179"/>
      <c r="D4" s="179"/>
      <c r="E4" s="179"/>
      <c r="F4" s="179"/>
      <c r="H4" s="190" t="s">
        <v>207</v>
      </c>
      <c r="I4" s="191"/>
      <c r="J4" s="191"/>
      <c r="K4" s="191"/>
      <c r="L4" s="191"/>
      <c r="M4" s="96" t="s">
        <v>208</v>
      </c>
      <c r="N4" s="95"/>
    </row>
    <row r="5" spans="2:14" s="107" customFormat="1" ht="15.9" customHeight="1" x14ac:dyDescent="0.4">
      <c r="B5" s="180" t="s">
        <v>79</v>
      </c>
      <c r="C5" s="180"/>
      <c r="D5" s="180"/>
      <c r="E5" s="180"/>
      <c r="F5" s="180"/>
      <c r="H5" s="183" t="s">
        <v>141</v>
      </c>
      <c r="I5" s="183"/>
      <c r="J5" s="183"/>
      <c r="K5" s="183"/>
      <c r="L5" s="183"/>
      <c r="M5" s="183"/>
      <c r="N5" s="183"/>
    </row>
    <row r="6" spans="2:14" s="107" customFormat="1" ht="15.9" customHeight="1" x14ac:dyDescent="0.4">
      <c r="B6" s="161" t="s">
        <v>263</v>
      </c>
      <c r="C6" s="161"/>
      <c r="D6" s="181" t="s">
        <v>264</v>
      </c>
      <c r="E6" s="181"/>
      <c r="F6" s="181"/>
      <c r="H6" s="184" t="s">
        <v>142</v>
      </c>
      <c r="I6" s="187" t="s">
        <v>143</v>
      </c>
      <c r="J6" s="187" t="s">
        <v>144</v>
      </c>
      <c r="K6" s="187" t="s">
        <v>199</v>
      </c>
      <c r="L6" s="187" t="s">
        <v>40</v>
      </c>
      <c r="M6" s="187" t="s">
        <v>145</v>
      </c>
      <c r="N6" s="187" t="s">
        <v>146</v>
      </c>
    </row>
    <row r="7" spans="2:14" s="107" customFormat="1" x14ac:dyDescent="0.4">
      <c r="B7" s="158" t="s">
        <v>28</v>
      </c>
      <c r="C7" s="158"/>
      <c r="D7" s="159" t="s">
        <v>29</v>
      </c>
      <c r="E7" s="159"/>
      <c r="F7" s="14" t="s">
        <v>258</v>
      </c>
      <c r="H7" s="185"/>
      <c r="I7" s="188"/>
      <c r="J7" s="188"/>
      <c r="K7" s="188"/>
      <c r="L7" s="188"/>
      <c r="M7" s="189"/>
      <c r="N7" s="189"/>
    </row>
    <row r="8" spans="2:14" s="107" customFormat="1" ht="15.75" customHeight="1" x14ac:dyDescent="0.4">
      <c r="B8" s="161" t="s">
        <v>93</v>
      </c>
      <c r="C8" s="161"/>
      <c r="D8" s="199" t="s">
        <v>227</v>
      </c>
      <c r="E8" s="200"/>
      <c r="F8" s="14" t="s">
        <v>228</v>
      </c>
      <c r="H8" s="186"/>
      <c r="I8" s="105" t="s">
        <v>147</v>
      </c>
      <c r="J8" s="105" t="s">
        <v>148</v>
      </c>
      <c r="K8" s="105" t="s">
        <v>134</v>
      </c>
      <c r="L8" s="105" t="s">
        <v>149</v>
      </c>
      <c r="M8" s="188"/>
      <c r="N8" s="188"/>
    </row>
    <row r="9" spans="2:14" s="107" customFormat="1" x14ac:dyDescent="0.4">
      <c r="C9" s="4"/>
      <c r="D9" s="108"/>
      <c r="E9" s="108"/>
      <c r="F9" s="109"/>
      <c r="H9" s="76" t="s">
        <v>135</v>
      </c>
      <c r="I9" s="77">
        <v>7548.85</v>
      </c>
      <c r="J9" s="78"/>
      <c r="K9" s="78"/>
      <c r="L9" s="79">
        <f>SUM(I9:K9)</f>
        <v>7548.85</v>
      </c>
      <c r="M9" s="80"/>
      <c r="N9" s="1"/>
    </row>
    <row r="10" spans="2:14" s="107" customFormat="1" ht="15.75" customHeight="1" x14ac:dyDescent="0.4">
      <c r="B10" s="180" t="s">
        <v>92</v>
      </c>
      <c r="C10" s="180"/>
      <c r="D10" s="180"/>
      <c r="E10" s="180"/>
      <c r="F10" s="180"/>
      <c r="H10" s="76" t="s">
        <v>136</v>
      </c>
      <c r="I10" s="77">
        <v>6435.65</v>
      </c>
      <c r="J10" s="78"/>
      <c r="K10" s="78"/>
      <c r="L10" s="79">
        <f>SUM(I10:K10)</f>
        <v>6435.65</v>
      </c>
      <c r="M10" s="80"/>
      <c r="N10" s="1"/>
    </row>
    <row r="11" spans="2:14" s="107" customFormat="1" ht="18" customHeight="1" x14ac:dyDescent="0.4">
      <c r="B11" s="15" t="s">
        <v>2</v>
      </c>
      <c r="C11" s="161" t="s">
        <v>53</v>
      </c>
      <c r="D11" s="161"/>
      <c r="E11" s="161"/>
      <c r="F11" s="16" t="s">
        <v>227</v>
      </c>
      <c r="H11" s="76" t="s">
        <v>137</v>
      </c>
      <c r="I11" s="77">
        <v>1811.1</v>
      </c>
      <c r="J11" s="78"/>
      <c r="K11" s="78"/>
      <c r="L11" s="79">
        <f>SUM(I11:K11)</f>
        <v>1811.1</v>
      </c>
      <c r="M11" s="80"/>
      <c r="N11" s="81"/>
    </row>
    <row r="12" spans="2:14" s="107" customFormat="1" ht="15.9" customHeight="1" x14ac:dyDescent="0.25">
      <c r="B12" s="1" t="s">
        <v>3</v>
      </c>
      <c r="C12" s="55" t="s">
        <v>30</v>
      </c>
      <c r="D12" s="160"/>
      <c r="E12" s="160"/>
      <c r="F12" s="160"/>
      <c r="H12" s="76" t="s">
        <v>138</v>
      </c>
      <c r="I12" s="77"/>
      <c r="J12" s="78"/>
      <c r="K12" s="78"/>
      <c r="L12" s="79">
        <f>SUM(I12:K12)</f>
        <v>0</v>
      </c>
      <c r="M12" s="80"/>
      <c r="N12" s="81"/>
    </row>
    <row r="13" spans="2:14" s="107" customFormat="1" ht="15.9" customHeight="1" x14ac:dyDescent="0.4">
      <c r="B13" s="15" t="s">
        <v>4</v>
      </c>
      <c r="C13" s="161" t="s">
        <v>119</v>
      </c>
      <c r="D13" s="161"/>
      <c r="E13" s="161"/>
      <c r="F13" s="58"/>
      <c r="H13" s="76" t="s">
        <v>139</v>
      </c>
      <c r="I13" s="77"/>
      <c r="J13" s="78"/>
      <c r="K13" s="78"/>
      <c r="L13" s="79">
        <f>SUM(I13:K13)</f>
        <v>0</v>
      </c>
      <c r="M13" s="80"/>
      <c r="N13" s="1"/>
    </row>
    <row r="14" spans="2:14" s="107" customFormat="1" x14ac:dyDescent="0.4">
      <c r="B14" s="1" t="s">
        <v>5</v>
      </c>
      <c r="C14" s="196" t="s">
        <v>31</v>
      </c>
      <c r="D14" s="197"/>
      <c r="E14" s="198"/>
      <c r="F14" s="14" t="s">
        <v>265</v>
      </c>
      <c r="H14" s="105" t="s">
        <v>40</v>
      </c>
      <c r="I14" s="82">
        <f>SUM(I9:I13)</f>
        <v>15795.6</v>
      </c>
      <c r="J14" s="82">
        <f>SUM(J9:J13)</f>
        <v>0</v>
      </c>
      <c r="K14" s="82">
        <f>SUM(K9:K13)</f>
        <v>0</v>
      </c>
      <c r="L14" s="82">
        <f>SUM(L9:L12)</f>
        <v>15795.6</v>
      </c>
      <c r="M14" s="201"/>
      <c r="N14" s="201"/>
    </row>
    <row r="15" spans="2:14" s="107" customFormat="1" ht="15.9" customHeight="1" x14ac:dyDescent="0.4">
      <c r="B15" s="1" t="s">
        <v>6</v>
      </c>
      <c r="C15" s="161" t="s">
        <v>54</v>
      </c>
      <c r="D15" s="161"/>
      <c r="E15" s="161"/>
      <c r="F15" s="53">
        <v>12</v>
      </c>
      <c r="H15" s="202" t="s">
        <v>150</v>
      </c>
      <c r="I15" s="203"/>
      <c r="J15" s="203"/>
      <c r="K15" s="203"/>
      <c r="L15" s="203"/>
      <c r="M15" s="204"/>
      <c r="N15" s="142">
        <f>IF(QTDE_DE_ENC&gt;=1,QTDE_DE_SERV/QTDE_DE_ENC,"")</f>
        <v>12.17604687</v>
      </c>
    </row>
    <row r="16" spans="2:14" s="107" customFormat="1" ht="15.9" customHeight="1" x14ac:dyDescent="0.4">
      <c r="C16" s="4"/>
      <c r="D16" s="108"/>
      <c r="E16" s="108"/>
      <c r="F16" s="109"/>
      <c r="H16" s="83"/>
      <c r="I16" s="83"/>
      <c r="J16" s="83"/>
      <c r="K16" s="83"/>
      <c r="L16" s="83"/>
      <c r="M16" s="110"/>
      <c r="N16" s="110"/>
    </row>
    <row r="17" spans="2:14" s="107" customFormat="1" ht="16.5" customHeight="1" x14ac:dyDescent="0.4">
      <c r="B17" s="180" t="s">
        <v>94</v>
      </c>
      <c r="C17" s="180"/>
      <c r="D17" s="180"/>
      <c r="E17" s="180"/>
      <c r="F17" s="180"/>
      <c r="H17" s="205" t="s">
        <v>151</v>
      </c>
      <c r="I17" s="206"/>
      <c r="J17" s="206"/>
      <c r="K17" s="206"/>
      <c r="L17" s="206"/>
      <c r="M17" s="206"/>
      <c r="N17" s="207"/>
    </row>
    <row r="18" spans="2:14" s="111" customFormat="1" ht="32.25" customHeight="1" x14ac:dyDescent="0.25">
      <c r="B18" s="57" t="s">
        <v>120</v>
      </c>
      <c r="C18" s="1" t="s">
        <v>26</v>
      </c>
      <c r="D18" s="93" t="s">
        <v>203</v>
      </c>
      <c r="E18" s="54" t="s">
        <v>204</v>
      </c>
      <c r="F18" s="54" t="s">
        <v>205</v>
      </c>
      <c r="H18" s="208" t="s">
        <v>152</v>
      </c>
      <c r="I18" s="209"/>
      <c r="J18" s="209"/>
      <c r="K18" s="209"/>
      <c r="L18" s="209"/>
      <c r="M18" s="209"/>
      <c r="N18" s="210"/>
    </row>
    <row r="19" spans="2:14" s="107" customFormat="1" ht="16.5" customHeight="1" x14ac:dyDescent="0.4">
      <c r="B19" s="15" t="s">
        <v>121</v>
      </c>
      <c r="C19" s="139" t="s">
        <v>225</v>
      </c>
      <c r="D19" s="94"/>
      <c r="E19" s="70">
        <v>1</v>
      </c>
      <c r="F19" s="92">
        <v>3222.38</v>
      </c>
      <c r="H19" s="194" t="s">
        <v>153</v>
      </c>
      <c r="I19" s="194"/>
      <c r="J19" s="194"/>
      <c r="K19" s="194"/>
      <c r="L19" s="194"/>
      <c r="M19" s="194"/>
      <c r="N19" s="195"/>
    </row>
    <row r="20" spans="2:14" s="107" customFormat="1" ht="16.5" customHeight="1" x14ac:dyDescent="0.4">
      <c r="B20" s="1" t="s">
        <v>122</v>
      </c>
      <c r="C20" s="140" t="s">
        <v>226</v>
      </c>
      <c r="D20" s="94"/>
      <c r="E20" s="64">
        <v>12.17604687</v>
      </c>
      <c r="F20" s="92">
        <v>1629.62</v>
      </c>
      <c r="H20" s="194"/>
      <c r="I20" s="194"/>
      <c r="J20" s="194"/>
      <c r="K20" s="194"/>
      <c r="L20" s="194"/>
      <c r="M20" s="194"/>
      <c r="N20" s="195"/>
    </row>
    <row r="21" spans="2:14" s="107" customFormat="1" ht="16.5" customHeight="1" x14ac:dyDescent="0.4">
      <c r="B21" s="15" t="s">
        <v>196</v>
      </c>
      <c r="C21" s="139"/>
      <c r="D21" s="94"/>
      <c r="E21" s="70"/>
      <c r="F21" s="92"/>
      <c r="H21" s="192" t="s">
        <v>234</v>
      </c>
      <c r="I21" s="192"/>
      <c r="J21" s="192"/>
      <c r="K21" s="192"/>
      <c r="L21" s="192"/>
      <c r="M21" s="192"/>
      <c r="N21" s="193"/>
    </row>
    <row r="22" spans="2:14" s="107" customFormat="1" ht="15.9" customHeight="1" x14ac:dyDescent="0.4">
      <c r="B22" s="112"/>
      <c r="C22" s="112"/>
      <c r="D22" s="112"/>
      <c r="E22" s="112"/>
      <c r="F22" s="112"/>
      <c r="H22" s="192"/>
      <c r="I22" s="192"/>
      <c r="J22" s="192"/>
      <c r="K22" s="192"/>
      <c r="L22" s="192"/>
      <c r="M22" s="192"/>
      <c r="N22" s="193"/>
    </row>
    <row r="23" spans="2:14" s="107" customFormat="1" ht="15" customHeight="1" x14ac:dyDescent="0.4">
      <c r="B23" s="180" t="s">
        <v>95</v>
      </c>
      <c r="C23" s="180"/>
      <c r="D23" s="180"/>
      <c r="E23" s="180"/>
      <c r="F23" s="180"/>
      <c r="H23" s="194" t="s">
        <v>154</v>
      </c>
      <c r="I23" s="194"/>
      <c r="J23" s="194"/>
      <c r="K23" s="194"/>
      <c r="L23" s="194"/>
      <c r="M23" s="194"/>
      <c r="N23" s="195"/>
    </row>
    <row r="24" spans="2:14" s="107" customFormat="1" ht="15" customHeight="1" x14ac:dyDescent="0.4">
      <c r="B24" s="15">
        <v>1</v>
      </c>
      <c r="C24" s="170" t="s">
        <v>50</v>
      </c>
      <c r="D24" s="170"/>
      <c r="E24" s="211" t="s">
        <v>194</v>
      </c>
      <c r="F24" s="211"/>
      <c r="H24" s="194"/>
      <c r="I24" s="194"/>
      <c r="J24" s="194"/>
      <c r="K24" s="194"/>
      <c r="L24" s="194"/>
      <c r="M24" s="194"/>
      <c r="N24" s="195"/>
    </row>
    <row r="25" spans="2:14" s="107" customFormat="1" ht="15" customHeight="1" x14ac:dyDescent="0.4">
      <c r="B25" s="15">
        <v>2</v>
      </c>
      <c r="C25" s="17" t="s">
        <v>49</v>
      </c>
      <c r="D25" s="171" t="s">
        <v>197</v>
      </c>
      <c r="E25" s="172"/>
      <c r="F25" s="173"/>
    </row>
    <row r="26" spans="2:14" s="107" customFormat="1" ht="15.9" customHeight="1" x14ac:dyDescent="0.4">
      <c r="B26" s="15">
        <v>3</v>
      </c>
      <c r="C26" s="163" t="s">
        <v>52</v>
      </c>
      <c r="D26" s="164"/>
      <c r="E26" s="165"/>
      <c r="F26" s="16">
        <v>45292</v>
      </c>
    </row>
    <row r="27" spans="2:14" s="107" customFormat="1" ht="15.9" customHeight="1" x14ac:dyDescent="0.4">
      <c r="B27" s="15">
        <v>4</v>
      </c>
      <c r="C27" s="162" t="s">
        <v>113</v>
      </c>
      <c r="D27" s="162"/>
      <c r="E27" s="162"/>
      <c r="F27" s="56">
        <v>1412</v>
      </c>
    </row>
    <row r="28" spans="2:14" s="107" customFormat="1" x14ac:dyDescent="0.4">
      <c r="B28" s="18"/>
      <c r="C28" s="19"/>
      <c r="D28" s="19"/>
      <c r="E28" s="19"/>
      <c r="F28" s="113"/>
      <c r="H28" s="6"/>
      <c r="I28" s="6"/>
      <c r="J28" s="6"/>
      <c r="K28" s="6"/>
      <c r="L28" s="6"/>
      <c r="M28" s="6"/>
      <c r="N28" s="6"/>
    </row>
    <row r="29" spans="2:14" s="107" customFormat="1" ht="24.6" x14ac:dyDescent="0.55000000000000004">
      <c r="B29" s="114" t="s">
        <v>128</v>
      </c>
      <c r="C29" s="6"/>
      <c r="D29" s="6"/>
      <c r="E29" s="6"/>
      <c r="F29" s="6"/>
      <c r="H29" s="6"/>
      <c r="I29" s="6"/>
      <c r="J29" s="6"/>
      <c r="K29" s="6"/>
      <c r="L29" s="6"/>
      <c r="M29" s="6"/>
      <c r="N29" s="6"/>
    </row>
    <row r="30" spans="2:14" x14ac:dyDescent="0.4">
      <c r="B30" s="41" t="s">
        <v>8</v>
      </c>
      <c r="E30" s="7"/>
      <c r="F30" s="7"/>
    </row>
    <row r="31" spans="2:14" x14ac:dyDescent="0.4">
      <c r="B31" s="1">
        <v>1</v>
      </c>
      <c r="C31" s="169" t="s">
        <v>9</v>
      </c>
      <c r="D31" s="169"/>
      <c r="E31" s="169"/>
      <c r="F31" s="98" t="s">
        <v>99</v>
      </c>
    </row>
    <row r="32" spans="2:14" x14ac:dyDescent="0.4">
      <c r="B32" s="1" t="s">
        <v>2</v>
      </c>
      <c r="C32" s="166" t="s">
        <v>129</v>
      </c>
      <c r="D32" s="167"/>
      <c r="E32" s="168"/>
      <c r="F32" s="66"/>
    </row>
    <row r="33" spans="1:14" x14ac:dyDescent="0.4">
      <c r="B33" s="1" t="s">
        <v>3</v>
      </c>
      <c r="C33" s="174" t="s">
        <v>219</v>
      </c>
      <c r="D33" s="175"/>
      <c r="E33" s="157"/>
      <c r="F33" s="65"/>
    </row>
    <row r="34" spans="1:14" x14ac:dyDescent="0.4">
      <c r="B34" s="1" t="s">
        <v>4</v>
      </c>
      <c r="C34" s="174" t="s">
        <v>123</v>
      </c>
      <c r="D34" s="174"/>
      <c r="E34" s="174"/>
      <c r="F34" s="65"/>
      <c r="H34" s="115"/>
      <c r="I34" s="115"/>
      <c r="J34" s="115"/>
      <c r="K34" s="115"/>
      <c r="L34" s="115"/>
      <c r="M34" s="115"/>
      <c r="N34" s="115"/>
    </row>
    <row r="35" spans="1:14" x14ac:dyDescent="0.4">
      <c r="B35" s="1" t="s">
        <v>5</v>
      </c>
      <c r="C35" s="174" t="s">
        <v>124</v>
      </c>
      <c r="D35" s="174"/>
      <c r="E35" s="174"/>
      <c r="F35" s="65"/>
      <c r="H35" s="115"/>
      <c r="I35" s="115"/>
      <c r="J35" s="115"/>
      <c r="K35" s="115"/>
      <c r="L35" s="115"/>
      <c r="M35" s="115"/>
      <c r="N35" s="115"/>
    </row>
    <row r="36" spans="1:14" s="115" customFormat="1" x14ac:dyDescent="0.4">
      <c r="H36" s="107"/>
      <c r="I36" s="107"/>
      <c r="J36" s="107"/>
      <c r="K36" s="107"/>
      <c r="L36" s="107"/>
      <c r="M36" s="107"/>
      <c r="N36" s="107"/>
    </row>
    <row r="37" spans="1:14" s="115" customFormat="1" x14ac:dyDescent="0.4">
      <c r="A37" s="6"/>
      <c r="B37" s="41" t="s">
        <v>55</v>
      </c>
      <c r="C37" s="9"/>
      <c r="D37" s="9"/>
      <c r="E37" s="11"/>
      <c r="F37" s="11"/>
      <c r="H37" s="107"/>
      <c r="I37" s="107"/>
      <c r="J37" s="107"/>
      <c r="K37" s="107"/>
      <c r="L37" s="107"/>
      <c r="M37" s="107"/>
      <c r="N37" s="107"/>
    </row>
    <row r="38" spans="1:14" s="115" customFormat="1" x14ac:dyDescent="0.4"/>
    <row r="39" spans="1:14" s="115" customFormat="1" x14ac:dyDescent="0.4">
      <c r="A39" s="6"/>
      <c r="B39" s="41" t="s">
        <v>60</v>
      </c>
      <c r="C39" s="107"/>
      <c r="D39" s="107"/>
      <c r="E39" s="107"/>
      <c r="F39" s="107"/>
    </row>
    <row r="40" spans="1:14" s="115" customFormat="1" ht="15" customHeight="1" x14ac:dyDescent="0.4">
      <c r="A40" s="6"/>
      <c r="B40" s="1" t="s">
        <v>74</v>
      </c>
      <c r="C40" s="212" t="s">
        <v>13</v>
      </c>
      <c r="D40" s="213"/>
      <c r="E40" s="98" t="s">
        <v>32</v>
      </c>
      <c r="F40" s="98" t="s">
        <v>100</v>
      </c>
    </row>
    <row r="41" spans="1:14" s="115" customFormat="1" x14ac:dyDescent="0.4">
      <c r="A41" s="6"/>
      <c r="B41" s="68" t="s">
        <v>2</v>
      </c>
      <c r="C41" s="170" t="s">
        <v>14</v>
      </c>
      <c r="D41" s="170"/>
      <c r="E41" s="53" t="s">
        <v>33</v>
      </c>
      <c r="F41" s="23">
        <v>18.600000000000001</v>
      </c>
    </row>
    <row r="42" spans="1:14" s="115" customFormat="1" x14ac:dyDescent="0.4">
      <c r="B42" s="68" t="s">
        <v>3</v>
      </c>
      <c r="C42" s="162" t="s">
        <v>59</v>
      </c>
      <c r="D42" s="162"/>
      <c r="E42" s="20" t="s">
        <v>33</v>
      </c>
      <c r="F42" s="23">
        <v>42.2</v>
      </c>
    </row>
    <row r="43" spans="1:14" s="115" customFormat="1" x14ac:dyDescent="0.4">
      <c r="B43" s="68" t="s">
        <v>5</v>
      </c>
      <c r="C43" s="170" t="s">
        <v>131</v>
      </c>
      <c r="D43" s="170"/>
      <c r="E43" s="53" t="s">
        <v>116</v>
      </c>
      <c r="F43" s="69">
        <v>22</v>
      </c>
      <c r="H43" s="6"/>
      <c r="I43" s="6"/>
      <c r="J43" s="6"/>
      <c r="K43" s="6"/>
      <c r="L43" s="6"/>
      <c r="M43" s="6"/>
      <c r="N43" s="6"/>
    </row>
    <row r="44" spans="1:14" x14ac:dyDescent="0.4">
      <c r="B44" s="68" t="s">
        <v>4</v>
      </c>
      <c r="C44" s="156" t="s">
        <v>229</v>
      </c>
      <c r="D44" s="157"/>
      <c r="E44" s="91"/>
      <c r="F44" s="65"/>
    </row>
    <row r="45" spans="1:14" x14ac:dyDescent="0.4">
      <c r="B45" s="68" t="s">
        <v>6</v>
      </c>
      <c r="C45" s="156" t="s">
        <v>125</v>
      </c>
      <c r="D45" s="157"/>
      <c r="E45" s="91"/>
      <c r="F45" s="65"/>
      <c r="H45" s="115"/>
      <c r="I45" s="115"/>
      <c r="J45" s="115"/>
      <c r="K45" s="115"/>
      <c r="L45" s="115"/>
      <c r="M45" s="115"/>
      <c r="N45" s="115"/>
    </row>
    <row r="46" spans="1:14" x14ac:dyDescent="0.4">
      <c r="B46" s="68" t="s">
        <v>7</v>
      </c>
      <c r="C46" s="156" t="s">
        <v>126</v>
      </c>
      <c r="D46" s="157"/>
      <c r="E46" s="91"/>
      <c r="F46" s="65"/>
      <c r="H46" s="107"/>
      <c r="I46" s="107"/>
      <c r="J46" s="107"/>
      <c r="K46" s="107"/>
      <c r="L46" s="107"/>
      <c r="M46" s="107"/>
      <c r="N46" s="107"/>
    </row>
    <row r="47" spans="1:14" s="115" customFormat="1" x14ac:dyDescent="0.4">
      <c r="H47" s="107"/>
      <c r="I47" s="107"/>
      <c r="J47" s="107"/>
      <c r="K47" s="107"/>
      <c r="L47" s="107"/>
      <c r="M47" s="107"/>
      <c r="N47" s="107"/>
    </row>
    <row r="48" spans="1:14" s="107" customFormat="1" x14ac:dyDescent="0.4">
      <c r="B48" s="41" t="s">
        <v>62</v>
      </c>
      <c r="C48" s="5"/>
      <c r="D48" s="12"/>
      <c r="E48" s="6"/>
      <c r="F48" s="6"/>
    </row>
    <row r="49" spans="1:14" s="107" customFormat="1" ht="15" customHeight="1" x14ac:dyDescent="0.4">
      <c r="B49" s="41" t="s">
        <v>83</v>
      </c>
      <c r="C49" s="5"/>
      <c r="D49" s="12"/>
      <c r="E49" s="10"/>
      <c r="F49" s="10"/>
    </row>
    <row r="50" spans="1:14" s="107" customFormat="1" x14ac:dyDescent="0.4">
      <c r="B50" s="1" t="s">
        <v>19</v>
      </c>
      <c r="C50" s="222" t="s">
        <v>84</v>
      </c>
      <c r="D50" s="223"/>
      <c r="E50" s="224"/>
      <c r="F50" s="98" t="s">
        <v>1</v>
      </c>
      <c r="H50" s="6"/>
      <c r="I50" s="6"/>
      <c r="J50" s="6"/>
      <c r="K50" s="6"/>
      <c r="L50" s="6"/>
      <c r="M50" s="6"/>
      <c r="N50" s="6"/>
    </row>
    <row r="51" spans="1:14" x14ac:dyDescent="0.4">
      <c r="A51" s="107"/>
      <c r="B51" s="2" t="s">
        <v>2</v>
      </c>
      <c r="C51" s="225" t="s">
        <v>211</v>
      </c>
      <c r="D51" s="226"/>
      <c r="E51" s="227"/>
      <c r="F51" s="91"/>
    </row>
    <row r="52" spans="1:14" s="115" customFormat="1" x14ac:dyDescent="0.4">
      <c r="H52" s="6"/>
      <c r="I52" s="6"/>
      <c r="J52" s="6"/>
      <c r="K52" s="6"/>
      <c r="L52" s="6"/>
      <c r="M52" s="6"/>
      <c r="N52" s="6"/>
    </row>
    <row r="53" spans="1:14" x14ac:dyDescent="0.4">
      <c r="B53" s="41" t="s">
        <v>250</v>
      </c>
      <c r="C53" s="5"/>
      <c r="D53" s="12"/>
      <c r="E53" s="10"/>
      <c r="F53" s="10"/>
    </row>
    <row r="54" spans="1:14" x14ac:dyDescent="0.4">
      <c r="B54" s="1" t="s">
        <v>20</v>
      </c>
      <c r="C54" s="234" t="s">
        <v>249</v>
      </c>
      <c r="D54" s="234"/>
      <c r="E54" s="234"/>
      <c r="F54" s="98" t="s">
        <v>245</v>
      </c>
    </row>
    <row r="55" spans="1:14" x14ac:dyDescent="0.4">
      <c r="B55" s="1" t="s">
        <v>2</v>
      </c>
      <c r="C55" s="235" t="s">
        <v>103</v>
      </c>
      <c r="D55" s="235"/>
      <c r="E55" s="235"/>
      <c r="F55" s="66"/>
    </row>
    <row r="56" spans="1:14" ht="15" customHeight="1" x14ac:dyDescent="0.4">
      <c r="B56" s="1" t="s">
        <v>3</v>
      </c>
      <c r="C56" s="218" t="s">
        <v>110</v>
      </c>
      <c r="D56" s="219"/>
      <c r="E56" s="220"/>
      <c r="F56" s="66"/>
    </row>
    <row r="57" spans="1:14" s="115" customFormat="1" x14ac:dyDescent="0.4"/>
    <row r="58" spans="1:14" x14ac:dyDescent="0.4">
      <c r="B58" s="41" t="s">
        <v>66</v>
      </c>
      <c r="C58" s="5"/>
      <c r="D58" s="5"/>
      <c r="E58" s="10"/>
      <c r="F58" s="10"/>
    </row>
    <row r="59" spans="1:14" ht="15.75" customHeight="1" x14ac:dyDescent="0.4">
      <c r="B59" s="39">
        <v>5</v>
      </c>
      <c r="C59" s="231" t="s">
        <v>0</v>
      </c>
      <c r="D59" s="231"/>
      <c r="E59" s="231"/>
      <c r="F59" s="40" t="s">
        <v>12</v>
      </c>
    </row>
    <row r="60" spans="1:14" x14ac:dyDescent="0.4">
      <c r="B60" s="35" t="s">
        <v>2</v>
      </c>
      <c r="C60" s="232" t="s">
        <v>15</v>
      </c>
      <c r="D60" s="232"/>
      <c r="E60" s="232"/>
      <c r="F60" s="67">
        <v>90.39</v>
      </c>
      <c r="H60" s="116"/>
      <c r="I60" s="116"/>
      <c r="J60" s="116"/>
      <c r="K60" s="116"/>
      <c r="L60" s="116"/>
      <c r="M60" s="116"/>
      <c r="N60" s="116"/>
    </row>
    <row r="61" spans="1:14" x14ac:dyDescent="0.4">
      <c r="B61" s="35" t="s">
        <v>3</v>
      </c>
      <c r="C61" s="233" t="s">
        <v>17</v>
      </c>
      <c r="D61" s="233"/>
      <c r="E61" s="233"/>
      <c r="F61" s="67">
        <v>894.57</v>
      </c>
      <c r="H61" s="116"/>
      <c r="I61" s="116"/>
      <c r="J61" s="116"/>
      <c r="K61" s="116"/>
      <c r="L61" s="116"/>
      <c r="M61" s="116"/>
      <c r="N61" s="116"/>
    </row>
    <row r="62" spans="1:14" s="116" customFormat="1" x14ac:dyDescent="0.4">
      <c r="A62" s="6"/>
      <c r="B62" s="35" t="s">
        <v>4</v>
      </c>
      <c r="C62" s="232" t="s">
        <v>16</v>
      </c>
      <c r="D62" s="232"/>
      <c r="E62" s="232"/>
      <c r="F62" s="67">
        <v>37.229999999999997</v>
      </c>
      <c r="H62" s="115"/>
      <c r="I62" s="115"/>
      <c r="J62" s="115"/>
      <c r="K62" s="115"/>
      <c r="L62" s="115"/>
      <c r="M62" s="115"/>
      <c r="N62" s="115"/>
    </row>
    <row r="63" spans="1:14" s="116" customFormat="1" x14ac:dyDescent="0.4">
      <c r="A63" s="6"/>
      <c r="B63" s="35" t="s">
        <v>5</v>
      </c>
      <c r="C63" s="174" t="s">
        <v>266</v>
      </c>
      <c r="D63" s="174"/>
      <c r="E63" s="174"/>
      <c r="F63" s="65">
        <v>40.380000000000003</v>
      </c>
      <c r="H63" s="117"/>
      <c r="I63" s="117"/>
      <c r="J63" s="117"/>
      <c r="K63" s="117"/>
      <c r="L63" s="117"/>
      <c r="M63" s="117"/>
      <c r="N63" s="117"/>
    </row>
    <row r="64" spans="1:14" s="115" customFormat="1" x14ac:dyDescent="0.4">
      <c r="H64" s="118"/>
      <c r="I64" s="118"/>
      <c r="J64" s="118"/>
      <c r="K64" s="118"/>
      <c r="L64" s="118"/>
      <c r="M64" s="118"/>
      <c r="N64" s="118"/>
    </row>
    <row r="65" spans="1:14" s="117" customFormat="1" ht="16.5" customHeight="1" x14ac:dyDescent="0.4">
      <c r="A65" s="6"/>
      <c r="B65" s="221" t="s">
        <v>65</v>
      </c>
      <c r="C65" s="221"/>
      <c r="D65" s="221"/>
      <c r="E65" s="221"/>
      <c r="F65" s="221"/>
      <c r="H65" s="118"/>
      <c r="I65" s="118"/>
      <c r="J65" s="118"/>
      <c r="K65" s="118"/>
      <c r="L65" s="118"/>
      <c r="M65" s="118"/>
      <c r="N65" s="118"/>
    </row>
    <row r="66" spans="1:14" s="118" customFormat="1" ht="16.5" customHeight="1" x14ac:dyDescent="0.4">
      <c r="A66" s="6"/>
      <c r="B66" s="1">
        <v>6</v>
      </c>
      <c r="C66" s="228" t="s">
        <v>21</v>
      </c>
      <c r="D66" s="229"/>
      <c r="E66" s="230"/>
      <c r="F66" s="98" t="s">
        <v>1</v>
      </c>
    </row>
    <row r="67" spans="1:14" s="118" customFormat="1" x14ac:dyDescent="0.4">
      <c r="A67" s="116"/>
      <c r="B67" s="1" t="s">
        <v>2</v>
      </c>
      <c r="C67" s="215" t="s">
        <v>67</v>
      </c>
      <c r="D67" s="216"/>
      <c r="E67" s="217"/>
      <c r="F67" s="146">
        <v>4.7300000000000004</v>
      </c>
    </row>
    <row r="68" spans="1:14" s="118" customFormat="1" x14ac:dyDescent="0.4">
      <c r="A68" s="116"/>
      <c r="B68" s="2" t="s">
        <v>3</v>
      </c>
      <c r="C68" s="218" t="s">
        <v>27</v>
      </c>
      <c r="D68" s="219"/>
      <c r="E68" s="220"/>
      <c r="F68" s="146">
        <v>5.57</v>
      </c>
      <c r="H68" s="6"/>
      <c r="I68" s="6"/>
      <c r="J68" s="6"/>
      <c r="K68" s="6"/>
      <c r="L68" s="6"/>
      <c r="M68" s="6"/>
      <c r="N68" s="6"/>
    </row>
    <row r="69" spans="1:14" s="118" customFormat="1" x14ac:dyDescent="0.4">
      <c r="A69" s="117"/>
      <c r="B69" s="21" t="s">
        <v>68</v>
      </c>
      <c r="C69" s="215" t="s">
        <v>23</v>
      </c>
      <c r="D69" s="216"/>
      <c r="E69" s="217">
        <f>PERC_PIS</f>
        <v>0.65</v>
      </c>
      <c r="F69" s="146">
        <v>0.65</v>
      </c>
      <c r="H69" s="6"/>
      <c r="I69" s="6"/>
      <c r="J69" s="6"/>
      <c r="K69" s="6"/>
      <c r="L69" s="6"/>
      <c r="M69" s="6"/>
      <c r="N69" s="6"/>
    </row>
    <row r="70" spans="1:14" x14ac:dyDescent="0.4">
      <c r="B70" s="21" t="s">
        <v>69</v>
      </c>
      <c r="C70" s="218" t="s">
        <v>24</v>
      </c>
      <c r="D70" s="219"/>
      <c r="E70" s="220">
        <f>PERC_COFINS</f>
        <v>3</v>
      </c>
      <c r="F70" s="146">
        <v>3</v>
      </c>
      <c r="H70" s="115"/>
      <c r="I70" s="115"/>
      <c r="J70" s="115"/>
      <c r="K70" s="115"/>
      <c r="L70" s="115"/>
      <c r="M70" s="115"/>
      <c r="N70" s="115"/>
    </row>
    <row r="71" spans="1:14" x14ac:dyDescent="0.4">
      <c r="B71" s="21" t="s">
        <v>70</v>
      </c>
      <c r="C71" s="215" t="s">
        <v>25</v>
      </c>
      <c r="D71" s="216"/>
      <c r="E71" s="217">
        <f>PERC_ISS</f>
        <v>5</v>
      </c>
      <c r="F71" s="146">
        <v>5</v>
      </c>
    </row>
    <row r="72" spans="1:14" s="115" customFormat="1" x14ac:dyDescent="0.4">
      <c r="H72" s="6"/>
      <c r="I72" s="6"/>
      <c r="J72" s="6"/>
      <c r="K72" s="6"/>
      <c r="L72" s="6"/>
      <c r="M72" s="6"/>
      <c r="N72" s="6"/>
    </row>
    <row r="73" spans="1:14" ht="20.399999999999999" x14ac:dyDescent="0.4">
      <c r="B73" s="24" t="s">
        <v>127</v>
      </c>
      <c r="C73" s="25"/>
      <c r="D73" s="25"/>
      <c r="E73" s="25"/>
      <c r="F73" s="26"/>
    </row>
    <row r="74" spans="1:14" ht="33.75" customHeight="1" x14ac:dyDescent="0.4">
      <c r="B74" s="214" t="s">
        <v>246</v>
      </c>
      <c r="C74" s="214"/>
      <c r="D74" s="214"/>
      <c r="E74" s="214"/>
      <c r="F74" s="214"/>
    </row>
  </sheetData>
  <mergeCells count="70">
    <mergeCell ref="C60:E60"/>
    <mergeCell ref="C61:E61"/>
    <mergeCell ref="C62:E62"/>
    <mergeCell ref="C54:E54"/>
    <mergeCell ref="C55:E55"/>
    <mergeCell ref="C56:E56"/>
    <mergeCell ref="C41:D41"/>
    <mergeCell ref="C40:D40"/>
    <mergeCell ref="C35:E35"/>
    <mergeCell ref="C34:E34"/>
    <mergeCell ref="B74:F74"/>
    <mergeCell ref="C69:E69"/>
    <mergeCell ref="C71:E71"/>
    <mergeCell ref="C68:E68"/>
    <mergeCell ref="C70:E70"/>
    <mergeCell ref="C67:E67"/>
    <mergeCell ref="C63:E63"/>
    <mergeCell ref="B65:F65"/>
    <mergeCell ref="C50:E50"/>
    <mergeCell ref="C51:E51"/>
    <mergeCell ref="C66:E66"/>
    <mergeCell ref="C59:E59"/>
    <mergeCell ref="H21:N22"/>
    <mergeCell ref="H23:N24"/>
    <mergeCell ref="C14:E14"/>
    <mergeCell ref="C15:E15"/>
    <mergeCell ref="D8:E8"/>
    <mergeCell ref="B17:F17"/>
    <mergeCell ref="C13:E13"/>
    <mergeCell ref="M14:N14"/>
    <mergeCell ref="H15:M15"/>
    <mergeCell ref="H17:N17"/>
    <mergeCell ref="H18:N18"/>
    <mergeCell ref="H19:N20"/>
    <mergeCell ref="E24:F24"/>
    <mergeCell ref="B23:F23"/>
    <mergeCell ref="B10:F10"/>
    <mergeCell ref="C11:E11"/>
    <mergeCell ref="H1:N3"/>
    <mergeCell ref="H5:N5"/>
    <mergeCell ref="H6:H8"/>
    <mergeCell ref="I6:I7"/>
    <mergeCell ref="J6:J7"/>
    <mergeCell ref="K6:K7"/>
    <mergeCell ref="L6:L7"/>
    <mergeCell ref="M6:M8"/>
    <mergeCell ref="N6:N8"/>
    <mergeCell ref="H4:L4"/>
    <mergeCell ref="B1:F1"/>
    <mergeCell ref="B2:D2"/>
    <mergeCell ref="B4:F4"/>
    <mergeCell ref="B5:F5"/>
    <mergeCell ref="B6:C6"/>
    <mergeCell ref="D6:F6"/>
    <mergeCell ref="C45:D45"/>
    <mergeCell ref="C46:D46"/>
    <mergeCell ref="B7:C7"/>
    <mergeCell ref="D7:E7"/>
    <mergeCell ref="D12:F12"/>
    <mergeCell ref="B8:C8"/>
    <mergeCell ref="C27:E27"/>
    <mergeCell ref="C26:E26"/>
    <mergeCell ref="C32:E32"/>
    <mergeCell ref="C31:E31"/>
    <mergeCell ref="C24:D24"/>
    <mergeCell ref="D25:F25"/>
    <mergeCell ref="C33:E33"/>
    <mergeCell ref="C42:D42"/>
    <mergeCell ref="C43:D43"/>
    <mergeCell ref="C44:D44"/>
  </mergeCells>
  <dataValidations count="19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>
      <formula1>0.65</formula1>
    </dataValidation>
    <dataValidation type="decimal" errorStyle="warning" allowBlank="1" showInputMessage="1" showErrorMessage="1" errorTitle="Erro na inserção de dados." error="O percentual recomendado de lucro, para serviços de limpeza e conservação, é de 5,57%, conforme estudos realizados pela Auditoria Interna do MPU." sqref="F68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, para serviços de limpeza e conservação, é de 4,73%, conforme estudos realizados pela Auditoria Interna do MPU." sqref="F67">
      <formula1>0</formula1>
      <formula2>4.73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2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</dataValidation>
    <dataValidation type="decimal" errorStyle="warning" operator="greaterThanOrEqual" allowBlank="1" showInputMessage="1" showErrorMessage="1" errorTitle="Atentar para o valor do salário." error="Tem certeza que o valor do salário normativo é menor que o salário mínimo vigente no país?" sqref="F19:F20">
      <formula1>F27</formula1>
    </dataValidation>
    <dataValidation type="decimal" errorStyle="warning" operator="equal" allowBlank="1" showInputMessage="1" showErrorMessage="1" errorTitle="Atentar para o valor do salário." error="Tem certeza que o valor do salário normativo do servente de área hospitalar é diferente ao salário normativo do servente?" sqref="F21">
      <formula1>F20</formula1>
    </dataValidation>
    <dataValidation type="list" showInputMessage="1" showErrorMessage="1" sqref="D19:D21">
      <formula1>"SIM,NÃO"</formula1>
    </dataValidation>
    <dataValidation type="whole" errorStyle="warning" operator="lessThanOrEqual" showInputMessage="1" showErrorMessage="1" errorTitle="Atentar para a quantidade." error="Tem certeza que o quantitativo de encarregados obedece a relação de 1 para cada 30 serventes?" sqref="E19">
      <formula1>QTDE_ESTIMADA_SERVENTES/RELACAO_SERVENTES_ENCARREGADOS</formula1>
    </dataValidation>
    <dataValidation type="list" allowBlank="1" showInputMessage="1" showErrorMessage="1" sqref="N4">
      <formula1>"7/2015,213/2017"</formula1>
    </dataValidation>
    <dataValidation type="decimal" errorStyle="warning" operator="equal" allowBlank="1" showInputMessage="1" showErrorMessage="1" errorTitle="Incluir a área médica." error="Atente para a inclusão da área médico hospitalar a ser limpa." sqref="E21">
      <formula1>0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9">
      <formula1>"600,800"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0">
      <formula1>"1200,1800"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1">
      <formula1>"220,300"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2">
      <formula1>"110,130"</formula1>
    </dataValidation>
    <dataValidation type="whole" errorStyle="warning" operator="equal" allowBlank="1" showInputMessage="1" showErrorMessage="1" errorTitle="Atenção para a inclusão do item." error="Segundo estudos da Audin-MPU, a inclusão deste item não é usual nas planilhas de custos no âmbito do MPU. Verifique se realmente há necessidade de incluí-lo." promptTitle="Intervalo Intrajornada" prompt="Segundo estudos da Audin-MPU, esse item não é usual nas planilhas do MPU. Verifique se realmente há necessidade de incluí-lo." sqref="F55:F56">
      <formula1>0</formula1>
    </dataValidation>
    <dataValidation type="list" allowBlank="1" showInputMessage="1" showErrorMessage="1" sqref="F13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  <ignoredErrors>
    <ignoredError sqref="B19:B21" numberStoredAsText="1"/>
    <ignoredError sqref="N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warning" operator="lessThanOrEqual" allowBlank="1" showInputMessage="1" showErrorMessage="1" errorTitle="Atentar para o quantitativo." error="Tem certeza que o quantitativo de serventes está de acordo com a produtividade das áreas a serem limpas?">
          <x14:formula1>
            <xm:f>'QTDE-ESTIMADA-SERVENTES'!D10</xm:f>
          </x14:formula1>
          <xm:sqref>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6" workbookViewId="0">
      <selection activeCell="I24" sqref="I24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9.6640625" style="9" customWidth="1"/>
    <col min="5" max="5" width="12" style="9" customWidth="1"/>
    <col min="6" max="6" width="17" style="9" customWidth="1"/>
    <col min="7" max="16384" width="9.109375" style="6"/>
  </cols>
  <sheetData>
    <row r="1" spans="1:6" s="107" customFormat="1" ht="24.6" x14ac:dyDescent="0.55000000000000004">
      <c r="B1" s="114" t="s">
        <v>230</v>
      </c>
      <c r="C1" s="6"/>
      <c r="D1" s="6"/>
      <c r="E1" s="6"/>
      <c r="F1" s="6"/>
    </row>
    <row r="2" spans="1:6" x14ac:dyDescent="0.4">
      <c r="B2" s="41" t="s">
        <v>8</v>
      </c>
      <c r="E2" s="7"/>
      <c r="F2" s="7"/>
    </row>
    <row r="3" spans="1:6" ht="33.6" x14ac:dyDescent="0.4">
      <c r="B3" s="1">
        <v>1</v>
      </c>
      <c r="C3" s="169" t="s">
        <v>9</v>
      </c>
      <c r="D3" s="169"/>
      <c r="E3" s="169"/>
      <c r="F3" s="98" t="s">
        <v>251</v>
      </c>
    </row>
    <row r="4" spans="1:6" x14ac:dyDescent="0.4">
      <c r="B4" s="1" t="s">
        <v>2</v>
      </c>
      <c r="C4" s="215" t="s">
        <v>101</v>
      </c>
      <c r="D4" s="216"/>
      <c r="E4" s="217"/>
      <c r="F4" s="61">
        <v>220</v>
      </c>
    </row>
    <row r="5" spans="1:6" x14ac:dyDescent="0.4">
      <c r="B5" s="1" t="s">
        <v>3</v>
      </c>
      <c r="C5" s="236" t="s">
        <v>97</v>
      </c>
      <c r="D5" s="236"/>
      <c r="E5" s="236"/>
      <c r="F5" s="59">
        <v>7</v>
      </c>
    </row>
    <row r="6" spans="1:6" x14ac:dyDescent="0.4">
      <c r="B6" s="1" t="s">
        <v>4</v>
      </c>
      <c r="C6" s="215" t="s">
        <v>96</v>
      </c>
      <c r="D6" s="216"/>
      <c r="E6" s="217"/>
      <c r="F6" s="61">
        <v>365</v>
      </c>
    </row>
    <row r="7" spans="1:6" x14ac:dyDescent="0.4">
      <c r="B7" s="1" t="s">
        <v>5</v>
      </c>
      <c r="C7" s="236" t="s">
        <v>117</v>
      </c>
      <c r="D7" s="236"/>
      <c r="E7" s="236"/>
      <c r="F7" s="60">
        <v>15.2</v>
      </c>
    </row>
    <row r="8" spans="1:6" x14ac:dyDescent="0.4">
      <c r="B8" s="1" t="s">
        <v>6</v>
      </c>
      <c r="C8" s="215" t="s">
        <v>102</v>
      </c>
      <c r="D8" s="216"/>
      <c r="E8" s="217"/>
      <c r="F8" s="61">
        <v>12</v>
      </c>
    </row>
    <row r="9" spans="1:6" x14ac:dyDescent="0.4">
      <c r="B9" s="1" t="s">
        <v>7</v>
      </c>
      <c r="C9" s="166" t="s">
        <v>202</v>
      </c>
      <c r="D9" s="167"/>
      <c r="E9" s="168"/>
      <c r="F9" s="59">
        <v>6</v>
      </c>
    </row>
    <row r="10" spans="1:6" x14ac:dyDescent="0.4">
      <c r="B10" s="1" t="s">
        <v>10</v>
      </c>
      <c r="C10" s="235" t="s">
        <v>98</v>
      </c>
      <c r="D10" s="235"/>
      <c r="E10" s="235"/>
      <c r="F10" s="61">
        <v>60</v>
      </c>
    </row>
    <row r="11" spans="1:6" x14ac:dyDescent="0.4">
      <c r="B11" s="1" t="s">
        <v>11</v>
      </c>
      <c r="C11" s="166" t="s">
        <v>201</v>
      </c>
      <c r="D11" s="167"/>
      <c r="E11" s="168"/>
      <c r="F11" s="59">
        <v>44</v>
      </c>
    </row>
    <row r="12" spans="1:6" s="115" customFormat="1" x14ac:dyDescent="0.4"/>
    <row r="13" spans="1:6" s="115" customFormat="1" x14ac:dyDescent="0.4">
      <c r="A13" s="6"/>
      <c r="B13" s="41" t="s">
        <v>55</v>
      </c>
      <c r="C13" s="9"/>
      <c r="D13" s="9"/>
      <c r="E13" s="11"/>
      <c r="F13" s="11"/>
    </row>
    <row r="14" spans="1:6" s="115" customFormat="1" x14ac:dyDescent="0.4">
      <c r="A14" s="6"/>
      <c r="B14" s="41" t="s">
        <v>60</v>
      </c>
      <c r="C14" s="107"/>
      <c r="D14" s="107"/>
      <c r="E14" s="107"/>
      <c r="F14" s="107"/>
    </row>
    <row r="15" spans="1:6" s="115" customFormat="1" ht="15" customHeight="1" x14ac:dyDescent="0.4">
      <c r="A15" s="6"/>
      <c r="B15" s="1" t="s">
        <v>74</v>
      </c>
      <c r="C15" s="212" t="s">
        <v>13</v>
      </c>
      <c r="D15" s="213"/>
      <c r="E15" s="98" t="s">
        <v>32</v>
      </c>
      <c r="F15" s="98" t="s">
        <v>252</v>
      </c>
    </row>
    <row r="16" spans="1:6" s="115" customFormat="1" x14ac:dyDescent="0.4">
      <c r="B16" s="68" t="s">
        <v>2</v>
      </c>
      <c r="C16" s="162" t="s">
        <v>118</v>
      </c>
      <c r="D16" s="162"/>
      <c r="E16" s="20" t="s">
        <v>116</v>
      </c>
      <c r="F16" s="63">
        <v>6</v>
      </c>
    </row>
    <row r="17" spans="1:6" s="115" customFormat="1" x14ac:dyDescent="0.4"/>
    <row r="18" spans="1:6" s="107" customFormat="1" x14ac:dyDescent="0.4">
      <c r="A18" s="115"/>
      <c r="B18" s="41" t="s">
        <v>61</v>
      </c>
      <c r="C18" s="5"/>
      <c r="D18" s="12"/>
      <c r="E18" s="10"/>
      <c r="F18" s="10"/>
    </row>
    <row r="19" spans="1:6" s="107" customFormat="1" x14ac:dyDescent="0.4">
      <c r="A19" s="115"/>
      <c r="B19" s="1">
        <v>3</v>
      </c>
      <c r="C19" s="228" t="s">
        <v>42</v>
      </c>
      <c r="D19" s="229"/>
      <c r="E19" s="230"/>
      <c r="F19" s="98" t="s">
        <v>252</v>
      </c>
    </row>
    <row r="20" spans="1:6" s="107" customFormat="1" x14ac:dyDescent="0.4">
      <c r="A20" s="115"/>
      <c r="B20" s="1" t="s">
        <v>2</v>
      </c>
      <c r="C20" s="215" t="s">
        <v>235</v>
      </c>
      <c r="D20" s="216"/>
      <c r="E20" s="217"/>
      <c r="F20" s="46">
        <v>56.24</v>
      </c>
    </row>
    <row r="21" spans="1:6" x14ac:dyDescent="0.4">
      <c r="A21" s="115"/>
      <c r="B21" s="2" t="s">
        <v>3</v>
      </c>
      <c r="C21" s="237" t="s">
        <v>104</v>
      </c>
      <c r="D21" s="238"/>
      <c r="E21" s="239"/>
      <c r="F21" s="27">
        <v>5.55</v>
      </c>
    </row>
    <row r="22" spans="1:6" s="107" customFormat="1" ht="15.9" customHeight="1" x14ac:dyDescent="0.25">
      <c r="B22" s="2" t="s">
        <v>4</v>
      </c>
      <c r="C22" s="215" t="s">
        <v>105</v>
      </c>
      <c r="D22" s="216"/>
      <c r="E22" s="217"/>
      <c r="F22" s="62">
        <v>40</v>
      </c>
    </row>
    <row r="23" spans="1:6" ht="16.5" customHeight="1" x14ac:dyDescent="0.4">
      <c r="A23" s="115"/>
      <c r="B23" s="2" t="s">
        <v>5</v>
      </c>
      <c r="C23" s="237" t="s">
        <v>106</v>
      </c>
      <c r="D23" s="238"/>
      <c r="E23" s="239"/>
      <c r="F23" s="27">
        <v>94.45</v>
      </c>
    </row>
    <row r="24" spans="1:6" x14ac:dyDescent="0.4">
      <c r="A24" s="115"/>
      <c r="B24" s="2" t="s">
        <v>6</v>
      </c>
      <c r="C24" s="215" t="s">
        <v>114</v>
      </c>
      <c r="D24" s="216"/>
      <c r="E24" s="217"/>
      <c r="F24" s="46">
        <v>30</v>
      </c>
    </row>
    <row r="25" spans="1:6" s="115" customFormat="1" x14ac:dyDescent="0.4"/>
    <row r="26" spans="1:6" s="107" customFormat="1" x14ac:dyDescent="0.4">
      <c r="B26" s="41" t="s">
        <v>62</v>
      </c>
      <c r="C26" s="5"/>
      <c r="D26" s="12"/>
      <c r="E26" s="6"/>
      <c r="F26" s="6"/>
    </row>
    <row r="27" spans="1:6" s="107" customFormat="1" ht="15" customHeight="1" x14ac:dyDescent="0.4">
      <c r="B27" s="41" t="s">
        <v>83</v>
      </c>
      <c r="C27" s="5"/>
      <c r="D27" s="12"/>
      <c r="E27" s="10"/>
      <c r="F27" s="10"/>
    </row>
    <row r="28" spans="1:6" s="107" customFormat="1" x14ac:dyDescent="0.25">
      <c r="B28" s="1" t="s">
        <v>19</v>
      </c>
      <c r="C28" s="222" t="s">
        <v>84</v>
      </c>
      <c r="D28" s="223"/>
      <c r="E28" s="224"/>
      <c r="F28" s="98" t="s">
        <v>252</v>
      </c>
    </row>
    <row r="29" spans="1:6" s="107" customFormat="1" x14ac:dyDescent="0.25">
      <c r="B29" s="1" t="s">
        <v>2</v>
      </c>
      <c r="C29" s="215" t="s">
        <v>107</v>
      </c>
      <c r="D29" s="216"/>
      <c r="E29" s="217"/>
      <c r="F29" s="62">
        <v>8</v>
      </c>
    </row>
    <row r="30" spans="1:6" x14ac:dyDescent="0.4">
      <c r="A30" s="107"/>
      <c r="B30" s="2" t="s">
        <v>3</v>
      </c>
      <c r="C30" s="218" t="s">
        <v>108</v>
      </c>
      <c r="D30" s="219"/>
      <c r="E30" s="220"/>
      <c r="F30" s="63">
        <v>20</v>
      </c>
    </row>
    <row r="31" spans="1:6" x14ac:dyDescent="0.4">
      <c r="A31" s="107"/>
      <c r="B31" s="2" t="s">
        <v>4</v>
      </c>
      <c r="C31" s="215" t="s">
        <v>109</v>
      </c>
      <c r="D31" s="216"/>
      <c r="E31" s="217"/>
      <c r="F31" s="46">
        <v>1.42</v>
      </c>
    </row>
    <row r="32" spans="1:6" x14ac:dyDescent="0.4">
      <c r="A32" s="107"/>
      <c r="B32" s="2" t="s">
        <v>5</v>
      </c>
      <c r="C32" s="218" t="s">
        <v>233</v>
      </c>
      <c r="D32" s="219"/>
      <c r="E32" s="220"/>
      <c r="F32" s="27">
        <v>45.22</v>
      </c>
    </row>
    <row r="33" spans="1:6" s="107" customFormat="1" ht="15.9" customHeight="1" x14ac:dyDescent="0.4">
      <c r="A33" s="6"/>
      <c r="B33" s="2" t="s">
        <v>6</v>
      </c>
      <c r="C33" s="215" t="s">
        <v>111</v>
      </c>
      <c r="D33" s="216"/>
      <c r="E33" s="217"/>
      <c r="F33" s="46">
        <f>(154800/34808000)*100</f>
        <v>0.44</v>
      </c>
    </row>
    <row r="34" spans="1:6" ht="15.75" customHeight="1" x14ac:dyDescent="0.4">
      <c r="A34" s="107"/>
      <c r="B34" s="2" t="s">
        <v>7</v>
      </c>
      <c r="C34" s="218" t="s">
        <v>115</v>
      </c>
      <c r="D34" s="219"/>
      <c r="E34" s="220"/>
      <c r="F34" s="63">
        <v>15</v>
      </c>
    </row>
    <row r="35" spans="1:6" ht="15.75" customHeight="1" x14ac:dyDescent="0.4">
      <c r="A35" s="107"/>
      <c r="B35" s="2" t="s">
        <v>10</v>
      </c>
      <c r="C35" s="215" t="s">
        <v>112</v>
      </c>
      <c r="D35" s="216"/>
      <c r="E35" s="217"/>
      <c r="F35" s="62">
        <v>180</v>
      </c>
    </row>
    <row r="36" spans="1:6" x14ac:dyDescent="0.4">
      <c r="A36" s="107"/>
      <c r="B36" s="2" t="s">
        <v>11</v>
      </c>
      <c r="C36" s="218" t="s">
        <v>232</v>
      </c>
      <c r="D36" s="219"/>
      <c r="E36" s="220"/>
      <c r="F36" s="27">
        <v>54.78</v>
      </c>
    </row>
    <row r="37" spans="1:6" s="115" customFormat="1" ht="8.25" customHeight="1" x14ac:dyDescent="0.4"/>
    <row r="38" spans="1:6" x14ac:dyDescent="0.4">
      <c r="B38" s="41" t="s">
        <v>63</v>
      </c>
      <c r="C38" s="5"/>
      <c r="D38" s="12"/>
      <c r="E38" s="10"/>
      <c r="F38" s="10"/>
    </row>
    <row r="39" spans="1:6" x14ac:dyDescent="0.4">
      <c r="B39" s="1" t="s">
        <v>20</v>
      </c>
      <c r="C39" s="234" t="s">
        <v>64</v>
      </c>
      <c r="D39" s="234"/>
      <c r="E39" s="234"/>
      <c r="F39" s="98" t="s">
        <v>253</v>
      </c>
    </row>
    <row r="40" spans="1:6" x14ac:dyDescent="0.4">
      <c r="B40" s="1" t="s">
        <v>2</v>
      </c>
      <c r="C40" s="235" t="s">
        <v>103</v>
      </c>
      <c r="D40" s="235"/>
      <c r="E40" s="235"/>
      <c r="F40" s="61">
        <f>PERC_HORA_EXTRA</f>
        <v>0</v>
      </c>
    </row>
    <row r="41" spans="1:6" ht="15" customHeight="1" x14ac:dyDescent="0.4">
      <c r="B41" s="1" t="s">
        <v>3</v>
      </c>
      <c r="C41" s="218" t="s">
        <v>110</v>
      </c>
      <c r="D41" s="219"/>
      <c r="E41" s="220"/>
      <c r="F41" s="59">
        <f>TEMPO_INTERVALO_REFEICAO</f>
        <v>0</v>
      </c>
    </row>
    <row r="42" spans="1:6" s="115" customFormat="1" x14ac:dyDescent="0.4"/>
    <row r="43" spans="1:6" ht="20.399999999999999" x14ac:dyDescent="0.4">
      <c r="B43" s="24" t="s">
        <v>127</v>
      </c>
      <c r="C43" s="25"/>
      <c r="D43" s="25"/>
      <c r="E43" s="25"/>
      <c r="F43" s="26"/>
    </row>
    <row r="44" spans="1:6" ht="33.75" customHeight="1" x14ac:dyDescent="0.4">
      <c r="B44" s="214" t="s">
        <v>246</v>
      </c>
      <c r="C44" s="214"/>
      <c r="D44" s="214"/>
      <c r="E44" s="214"/>
      <c r="F44" s="214"/>
    </row>
  </sheetData>
  <sheetProtection sheet="1" objects="1" scenarios="1"/>
  <mergeCells count="30">
    <mergeCell ref="B44:F44"/>
    <mergeCell ref="C36:E36"/>
    <mergeCell ref="C39:E39"/>
    <mergeCell ref="C40:E40"/>
    <mergeCell ref="C41:E41"/>
    <mergeCell ref="C35:E35"/>
    <mergeCell ref="C22:E22"/>
    <mergeCell ref="C23:E23"/>
    <mergeCell ref="C24:E24"/>
    <mergeCell ref="C28:E28"/>
    <mergeCell ref="C29:E29"/>
    <mergeCell ref="C30:E30"/>
    <mergeCell ref="C31:E31"/>
    <mergeCell ref="C32:E32"/>
    <mergeCell ref="C33:E33"/>
    <mergeCell ref="C34:E34"/>
    <mergeCell ref="C19:E19"/>
    <mergeCell ref="C20:E20"/>
    <mergeCell ref="C21:E21"/>
    <mergeCell ref="C15:D15"/>
    <mergeCell ref="C16:D16"/>
    <mergeCell ref="C11:E11"/>
    <mergeCell ref="C3:E3"/>
    <mergeCell ref="C4:E4"/>
    <mergeCell ref="C5:E5"/>
    <mergeCell ref="C6:E6"/>
    <mergeCell ref="C7:E7"/>
    <mergeCell ref="C8:E8"/>
    <mergeCell ref="C9:E9"/>
    <mergeCell ref="C10:E10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40:F41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opLeftCell="A25" workbookViewId="0">
      <selection activeCell="G32" sqref="G32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22" style="9" customWidth="1"/>
    <col min="5" max="5" width="13.5546875" style="9" customWidth="1"/>
    <col min="6" max="6" width="38.88671875" style="6" customWidth="1"/>
    <col min="7" max="7" width="50.44140625" style="6" customWidth="1"/>
    <col min="8" max="16384" width="9.109375" style="6"/>
  </cols>
  <sheetData>
    <row r="1" spans="2:7" s="107" customFormat="1" ht="24.6" x14ac:dyDescent="0.55000000000000004">
      <c r="B1" s="114" t="s">
        <v>231</v>
      </c>
      <c r="C1" s="6"/>
      <c r="D1" s="6"/>
      <c r="E1" s="6"/>
      <c r="F1" s="6"/>
      <c r="G1" s="6"/>
    </row>
    <row r="2" spans="2:7" x14ac:dyDescent="0.4">
      <c r="B2" s="41" t="s">
        <v>55</v>
      </c>
      <c r="E2" s="11"/>
    </row>
    <row r="3" spans="2:7" x14ac:dyDescent="0.4">
      <c r="B3" s="41" t="s">
        <v>91</v>
      </c>
      <c r="C3" s="5"/>
      <c r="D3" s="12"/>
      <c r="E3" s="10"/>
    </row>
    <row r="4" spans="2:7" x14ac:dyDescent="0.4">
      <c r="B4" s="1" t="s">
        <v>56</v>
      </c>
      <c r="C4" s="234" t="s">
        <v>76</v>
      </c>
      <c r="D4" s="234"/>
      <c r="E4" s="98" t="s">
        <v>1</v>
      </c>
      <c r="F4" s="98" t="s">
        <v>236</v>
      </c>
    </row>
    <row r="5" spans="2:7" x14ac:dyDescent="0.4">
      <c r="B5" s="1" t="s">
        <v>2</v>
      </c>
      <c r="C5" s="240" t="s">
        <v>41</v>
      </c>
      <c r="D5" s="240"/>
      <c r="E5" s="47">
        <f>(1/MESES_NO_ANO)*100</f>
        <v>8.33</v>
      </c>
      <c r="F5" s="47" t="s">
        <v>237</v>
      </c>
    </row>
    <row r="6" spans="2:7" x14ac:dyDescent="0.4">
      <c r="B6" s="2" t="s">
        <v>3</v>
      </c>
      <c r="C6" s="242" t="s">
        <v>77</v>
      </c>
      <c r="D6" s="242"/>
      <c r="E6" s="29">
        <f>(1/3)/MESES_NO_ANO*100</f>
        <v>2.78</v>
      </c>
      <c r="F6" s="29" t="s">
        <v>238</v>
      </c>
    </row>
    <row r="7" spans="2:7" s="115" customFormat="1" x14ac:dyDescent="0.4">
      <c r="B7" s="244" t="s">
        <v>57</v>
      </c>
      <c r="C7" s="244"/>
      <c r="D7" s="244"/>
      <c r="E7" s="244"/>
      <c r="F7" s="244"/>
    </row>
    <row r="8" spans="2:7" s="115" customFormat="1" ht="34.5" customHeight="1" x14ac:dyDescent="0.4">
      <c r="B8" s="1" t="s">
        <v>58</v>
      </c>
      <c r="C8" s="243" t="s">
        <v>78</v>
      </c>
      <c r="D8" s="243"/>
      <c r="E8" s="98" t="s">
        <v>1</v>
      </c>
    </row>
    <row r="9" spans="2:7" x14ac:dyDescent="0.4">
      <c r="B9" s="1" t="s">
        <v>2</v>
      </c>
      <c r="C9" s="240" t="s">
        <v>35</v>
      </c>
      <c r="D9" s="240"/>
      <c r="E9" s="47">
        <v>20</v>
      </c>
    </row>
    <row r="10" spans="2:7" s="107" customFormat="1" x14ac:dyDescent="0.25">
      <c r="B10" s="2" t="s">
        <v>3</v>
      </c>
      <c r="C10" s="242" t="s">
        <v>37</v>
      </c>
      <c r="D10" s="242"/>
      <c r="E10" s="36">
        <v>2.5</v>
      </c>
    </row>
    <row r="11" spans="2:7" s="107" customFormat="1" x14ac:dyDescent="0.25">
      <c r="B11" s="2" t="s">
        <v>4</v>
      </c>
      <c r="C11" s="240" t="s">
        <v>259</v>
      </c>
      <c r="D11" s="240"/>
      <c r="E11" s="47">
        <v>3</v>
      </c>
    </row>
    <row r="12" spans="2:7" s="107" customFormat="1" x14ac:dyDescent="0.25">
      <c r="B12" s="2" t="s">
        <v>5</v>
      </c>
      <c r="C12" s="242" t="s">
        <v>71</v>
      </c>
      <c r="D12" s="242"/>
      <c r="E12" s="29">
        <v>1.5</v>
      </c>
    </row>
    <row r="13" spans="2:7" s="107" customFormat="1" x14ac:dyDescent="0.25">
      <c r="B13" s="2" t="s">
        <v>6</v>
      </c>
      <c r="C13" s="240" t="s">
        <v>72</v>
      </c>
      <c r="D13" s="240"/>
      <c r="E13" s="47">
        <v>1</v>
      </c>
    </row>
    <row r="14" spans="2:7" s="107" customFormat="1" x14ac:dyDescent="0.25">
      <c r="B14" s="2" t="s">
        <v>7</v>
      </c>
      <c r="C14" s="242" t="s">
        <v>39</v>
      </c>
      <c r="D14" s="242"/>
      <c r="E14" s="36">
        <v>0.6</v>
      </c>
    </row>
    <row r="15" spans="2:7" s="107" customFormat="1" x14ac:dyDescent="0.25">
      <c r="B15" s="2" t="s">
        <v>10</v>
      </c>
      <c r="C15" s="240" t="s">
        <v>36</v>
      </c>
      <c r="D15" s="240"/>
      <c r="E15" s="47">
        <v>0.2</v>
      </c>
    </row>
    <row r="16" spans="2:7" x14ac:dyDescent="0.4">
      <c r="B16" s="2" t="s">
        <v>11</v>
      </c>
      <c r="C16" s="242" t="s">
        <v>38</v>
      </c>
      <c r="D16" s="242"/>
      <c r="E16" s="36">
        <v>8</v>
      </c>
    </row>
    <row r="17" spans="2:7" x14ac:dyDescent="0.4">
      <c r="B17" s="234" t="s">
        <v>40</v>
      </c>
      <c r="C17" s="234"/>
      <c r="D17" s="234"/>
      <c r="E17" s="30">
        <f>SUM(E9:E16)</f>
        <v>36.799999999999997</v>
      </c>
    </row>
    <row r="18" spans="2:7" s="115" customFormat="1" x14ac:dyDescent="0.4">
      <c r="B18" s="41" t="s">
        <v>61</v>
      </c>
      <c r="C18" s="5"/>
      <c r="D18" s="12"/>
      <c r="E18" s="10"/>
    </row>
    <row r="19" spans="2:7" s="115" customFormat="1" ht="15" customHeight="1" x14ac:dyDescent="0.4">
      <c r="B19" s="1">
        <v>3</v>
      </c>
      <c r="C19" s="234" t="s">
        <v>42</v>
      </c>
      <c r="D19" s="234"/>
      <c r="E19" s="98" t="s">
        <v>1</v>
      </c>
      <c r="F19" s="98" t="s">
        <v>236</v>
      </c>
    </row>
    <row r="20" spans="2:7" s="115" customFormat="1" x14ac:dyDescent="0.4">
      <c r="B20" s="1" t="s">
        <v>2</v>
      </c>
      <c r="C20" s="241" t="s">
        <v>43</v>
      </c>
      <c r="D20" s="241"/>
      <c r="E20" s="47">
        <f>PERC_EMPREG_DEMIT_SEM_JUSTA_CAUSA_TOTAL_DESLIG%*PERC_EMPREG_AVISO_PREVIO_IND%*1/MESES_NO_ANO*100</f>
        <v>0.26</v>
      </c>
      <c r="F20" s="47" t="s">
        <v>239</v>
      </c>
    </row>
    <row r="21" spans="2:7" s="115" customFormat="1" x14ac:dyDescent="0.4">
      <c r="B21" s="2" t="s">
        <v>3</v>
      </c>
      <c r="C21" s="245" t="s">
        <v>44</v>
      </c>
      <c r="D21" s="245"/>
      <c r="E21" s="36">
        <f>PERC_EMPREG_DEMIT_SEM_JUSTA_CAUSA_TOTAL_DESLIG%*PERC_EMPREG_AVISO_PREVIO_TRAB%*(DIAS_NA_SEMANA/DIAS_NO_MES)/MESES_NO_ANO*100</f>
        <v>1.03</v>
      </c>
      <c r="F21" s="29" t="s">
        <v>255</v>
      </c>
    </row>
    <row r="22" spans="2:7" s="107" customFormat="1" ht="16.5" customHeight="1" x14ac:dyDescent="0.25">
      <c r="B22" s="2" t="s">
        <v>4</v>
      </c>
      <c r="C22" s="241" t="s">
        <v>257</v>
      </c>
      <c r="D22" s="241"/>
      <c r="E22" s="47">
        <f>ROUNDUP(PERC_AVISO_PREVIO_TRAB%*(PERC_MULTA_FGTS%)*PERC_FGTS%*100,2)</f>
        <v>0.04</v>
      </c>
      <c r="F22" s="47" t="s">
        <v>256</v>
      </c>
    </row>
    <row r="23" spans="2:7" s="107" customFormat="1" ht="15.9" customHeight="1" x14ac:dyDescent="0.4">
      <c r="B23" s="41" t="s">
        <v>62</v>
      </c>
      <c r="C23" s="5"/>
      <c r="D23" s="12"/>
      <c r="E23" s="6"/>
    </row>
    <row r="24" spans="2:7" s="107" customFormat="1" ht="15.9" customHeight="1" x14ac:dyDescent="0.4">
      <c r="B24" s="41" t="s">
        <v>83</v>
      </c>
      <c r="C24" s="5"/>
      <c r="D24" s="12"/>
      <c r="E24" s="10"/>
    </row>
    <row r="25" spans="2:7" s="107" customFormat="1" x14ac:dyDescent="0.25">
      <c r="B25" s="1" t="s">
        <v>19</v>
      </c>
      <c r="C25" s="246" t="s">
        <v>84</v>
      </c>
      <c r="D25" s="246"/>
      <c r="E25" s="98" t="s">
        <v>1</v>
      </c>
      <c r="F25" s="98" t="s">
        <v>236</v>
      </c>
    </row>
    <row r="26" spans="2:7" s="107" customFormat="1" ht="15.9" customHeight="1" x14ac:dyDescent="0.25">
      <c r="B26" s="2" t="s">
        <v>2</v>
      </c>
      <c r="C26" s="240" t="s">
        <v>85</v>
      </c>
      <c r="D26" s="240"/>
      <c r="E26" s="47">
        <f>(1/MESES_NO_ANO)*100</f>
        <v>8.33</v>
      </c>
      <c r="F26" s="47" t="s">
        <v>240</v>
      </c>
    </row>
    <row r="27" spans="2:7" s="107" customFormat="1" ht="15.9" customHeight="1" x14ac:dyDescent="0.25">
      <c r="B27" s="2" t="s">
        <v>3</v>
      </c>
      <c r="C27" s="106" t="s">
        <v>86</v>
      </c>
      <c r="D27" s="106"/>
      <c r="E27" s="36">
        <f>(DIAS_AUSENCIAS_LEGAIS/DIAS_NO_MES)/MESES_NO_ANO*100</f>
        <v>2.2200000000000002</v>
      </c>
      <c r="F27" s="29" t="s">
        <v>241</v>
      </c>
    </row>
    <row r="28" spans="2:7" s="107" customFormat="1" ht="15.9" customHeight="1" x14ac:dyDescent="0.25">
      <c r="B28" s="2" t="s">
        <v>4</v>
      </c>
      <c r="C28" s="240" t="s">
        <v>87</v>
      </c>
      <c r="D28" s="240"/>
      <c r="E28" s="47">
        <f>(((DIAS_LICENCA_PATERNIDADE/DIAS_NO_MES)/MESES_NO_ANO)*PERC_NASCIDOS_VIVOS_POPUL_FEM%*PERC_PARTIC_MASC_VIGIL%)*100</f>
        <v>0.04</v>
      </c>
      <c r="F28" s="47" t="s">
        <v>243</v>
      </c>
    </row>
    <row r="29" spans="2:7" s="107" customFormat="1" x14ac:dyDescent="0.25">
      <c r="B29" s="2" t="s">
        <v>5</v>
      </c>
      <c r="C29" s="242" t="s">
        <v>88</v>
      </c>
      <c r="D29" s="242"/>
      <c r="E29" s="36">
        <f>(DIAS_PAGOS_EMPRESA_ACID_TRAB/DIAS_NO_MES)/MESES_NO_ANO*PERC_EMPREG_AFAST_TRAB%*100</f>
        <v>0.02</v>
      </c>
      <c r="F29" s="29" t="s">
        <v>242</v>
      </c>
    </row>
    <row r="30" spans="2:7" s="107" customFormat="1" ht="33.6" x14ac:dyDescent="0.25">
      <c r="B30" s="2" t="s">
        <v>6</v>
      </c>
      <c r="C30" s="240" t="s">
        <v>89</v>
      </c>
      <c r="D30" s="240"/>
      <c r="E30" s="47">
        <f>(((DIAS_LICENCA_MATERNIDADE/DIAS_NO_MES)/MESES_NO_ANO)*PERC_NASCIDOS_VIVOS_POPUL_FEM%*PERC_PARTIC_FEM_VIGIL%*PERC_GPS_FGTS%*100)</f>
        <v>0.14000000000000001</v>
      </c>
      <c r="F30" s="47" t="s">
        <v>244</v>
      </c>
    </row>
    <row r="31" spans="2:7" s="107" customFormat="1" x14ac:dyDescent="0.4">
      <c r="B31" s="2" t="s">
        <v>7</v>
      </c>
      <c r="C31" s="242" t="str">
        <f>OUTRAS_AUSENCIAS_DESCRICAO</f>
        <v>Outras Ausências (Especificar em %)</v>
      </c>
      <c r="D31" s="242"/>
      <c r="E31" s="36">
        <f>PERC_SUBSTITUTO_OUTRAS_AUSENCIAS</f>
        <v>0</v>
      </c>
      <c r="F31" s="29"/>
      <c r="G31" s="6"/>
    </row>
    <row r="32" spans="2:7" x14ac:dyDescent="0.4">
      <c r="G32" s="26"/>
    </row>
    <row r="33" spans="2:7" ht="20.399999999999999" x14ac:dyDescent="0.4">
      <c r="B33" s="24" t="s">
        <v>127</v>
      </c>
      <c r="C33" s="25"/>
      <c r="D33" s="25"/>
      <c r="E33" s="25"/>
      <c r="G33" s="131"/>
    </row>
    <row r="34" spans="2:7" ht="43.5" customHeight="1" x14ac:dyDescent="0.4">
      <c r="B34" s="214" t="s">
        <v>260</v>
      </c>
      <c r="C34" s="214"/>
      <c r="D34" s="214"/>
      <c r="E34" s="214"/>
      <c r="F34" s="214"/>
    </row>
  </sheetData>
  <sheetProtection algorithmName="SHA-512" hashValue="pQbrAX7MqZXJiAe3+OjRhiAcEdWUmgk0kQykgRry98BPZ730a1WulhWpoh0+y0jpuTgwTJV94fj8QVfLCJtaXQ==" saltValue="1bdFp+cqrPTKlHQ0YoaBXA==" spinCount="100000" sheet="1" objects="1" scenarios="1"/>
  <mergeCells count="25">
    <mergeCell ref="B34:F34"/>
    <mergeCell ref="C29:D29"/>
    <mergeCell ref="C30:D30"/>
    <mergeCell ref="C22:D22"/>
    <mergeCell ref="C25:D25"/>
    <mergeCell ref="C26:D26"/>
    <mergeCell ref="C21:D21"/>
    <mergeCell ref="C16:D16"/>
    <mergeCell ref="B17:D17"/>
    <mergeCell ref="C28:D28"/>
    <mergeCell ref="C31:D31"/>
    <mergeCell ref="C8:D8"/>
    <mergeCell ref="C9:D9"/>
    <mergeCell ref="C4:D4"/>
    <mergeCell ref="C5:D5"/>
    <mergeCell ref="C6:D6"/>
    <mergeCell ref="B7:F7"/>
    <mergeCell ref="C15:D15"/>
    <mergeCell ref="C19:D19"/>
    <mergeCell ref="C20:D20"/>
    <mergeCell ref="C10:D10"/>
    <mergeCell ref="C11:D11"/>
    <mergeCell ref="C12:D12"/>
    <mergeCell ref="C13:D13"/>
    <mergeCell ref="C14:D14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>
      <formula1>0</formula1>
      <formula2>1.94</formula2>
    </dataValidation>
  </dataValidations>
  <pageMargins left="0.18" right="0.17" top="0.14000000000000001" bottom="0.04" header="0.15" footer="0.01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0"/>
  <sheetViews>
    <sheetView zoomScaleNormal="100" zoomScaleSheetLayoutView="100" workbookViewId="0">
      <selection activeCell="E13" sqref="E13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7.88671875" style="9" customWidth="1"/>
    <col min="5" max="5" width="13.5546875" style="9" customWidth="1"/>
    <col min="6" max="6" width="15.44140625" style="9" bestFit="1" customWidth="1"/>
    <col min="7" max="7" width="9.109375" style="6"/>
    <col min="8" max="8" width="18.88671875" style="123" bestFit="1" customWidth="1"/>
    <col min="9" max="9" width="14.88671875" style="123" customWidth="1"/>
    <col min="10" max="10" width="12.6640625" style="123" customWidth="1"/>
    <col min="11" max="11" width="14" style="123" customWidth="1"/>
    <col min="12" max="12" width="13.6640625" style="72" customWidth="1"/>
    <col min="13" max="13" width="9.44140625" style="72" customWidth="1"/>
    <col min="14" max="14" width="12.88671875" style="72" customWidth="1"/>
    <col min="15" max="16384" width="9.109375" style="6"/>
  </cols>
  <sheetData>
    <row r="1" spans="2:14" ht="20.399999999999999" x14ac:dyDescent="0.45">
      <c r="B1" s="249" t="str">
        <f>RAMO</f>
        <v>RAMO: CONSELHO NACIONAL DO MINISTÉRIO PÚBLICO</v>
      </c>
      <c r="C1" s="250"/>
      <c r="D1" s="250"/>
      <c r="E1" s="250"/>
      <c r="F1" s="251"/>
      <c r="H1" s="6"/>
      <c r="I1" s="6"/>
      <c r="J1" s="6"/>
      <c r="K1" s="6"/>
      <c r="L1" s="6"/>
      <c r="M1" s="6"/>
      <c r="N1" s="6"/>
    </row>
    <row r="2" spans="2:14" ht="20.399999999999999" x14ac:dyDescent="0.45">
      <c r="B2" s="252" t="str">
        <f>UG</f>
        <v>UNIDADE GESTORA (SIGLA): CNMP</v>
      </c>
      <c r="C2" s="253"/>
      <c r="D2" s="254"/>
      <c r="E2" s="132" t="s">
        <v>47</v>
      </c>
      <c r="F2" s="133">
        <f>IF(DATA_DO_ORCAMENTO_ESTIMATIVO="","",DATA_DO_ORCAMENTO_ESTIMATIVO)</f>
        <v>45313</v>
      </c>
      <c r="H2" s="6"/>
      <c r="I2" s="6"/>
      <c r="J2" s="6"/>
      <c r="K2" s="6"/>
      <c r="L2" s="6"/>
      <c r="M2" s="6"/>
      <c r="N2" s="6"/>
    </row>
    <row r="3" spans="2:14" s="107" customFormat="1" ht="24.6" x14ac:dyDescent="0.55000000000000004">
      <c r="B3" s="179" t="s">
        <v>198</v>
      </c>
      <c r="C3" s="179"/>
      <c r="D3" s="179"/>
      <c r="E3" s="179"/>
      <c r="F3" s="179"/>
    </row>
    <row r="4" spans="2:14" s="107" customFormat="1" ht="15.9" customHeight="1" x14ac:dyDescent="0.4">
      <c r="B4" s="180" t="s">
        <v>79</v>
      </c>
      <c r="C4" s="180"/>
      <c r="D4" s="180"/>
      <c r="E4" s="180"/>
      <c r="F4" s="180"/>
    </row>
    <row r="5" spans="2:14" s="107" customFormat="1" ht="15.9" customHeight="1" x14ac:dyDescent="0.4">
      <c r="B5" s="161" t="s">
        <v>248</v>
      </c>
      <c r="C5" s="161"/>
      <c r="D5" s="255" t="str">
        <f>NUMERO_PROCESSO</f>
        <v>19.00.6150.0001856/2023-45</v>
      </c>
      <c r="E5" s="255"/>
      <c r="F5" s="255"/>
    </row>
    <row r="6" spans="2:14" s="107" customFormat="1" ht="15.75" customHeight="1" x14ac:dyDescent="0.4">
      <c r="B6" s="158" t="s">
        <v>247</v>
      </c>
      <c r="C6" s="158"/>
      <c r="D6" s="247" t="str">
        <f>MODALIDADE_DE_LICITACAO</f>
        <v>Pregão nº</v>
      </c>
      <c r="E6" s="247"/>
      <c r="F6" s="136" t="str">
        <f>NUMERO_PREGAO</f>
        <v>XX/20XX</v>
      </c>
    </row>
    <row r="7" spans="2:14" s="107" customFormat="1" ht="15.75" customHeight="1" x14ac:dyDescent="0.45">
      <c r="B7" s="248" t="s">
        <v>48</v>
      </c>
      <c r="C7" s="248"/>
      <c r="D7" s="248"/>
      <c r="E7" s="248"/>
      <c r="F7" s="248"/>
    </row>
    <row r="8" spans="2:14" s="107" customFormat="1" ht="18" customHeight="1" x14ac:dyDescent="0.4">
      <c r="B8" s="15" t="s">
        <v>2</v>
      </c>
      <c r="C8" s="161" t="s">
        <v>53</v>
      </c>
      <c r="D8" s="161"/>
      <c r="E8" s="161"/>
      <c r="F8" s="134" t="str">
        <f>DATA_APRESENTACAO_PROPOSTA</f>
        <v>XX/XX/20XX</v>
      </c>
    </row>
    <row r="9" spans="2:14" s="107" customFormat="1" ht="15.9" customHeight="1" x14ac:dyDescent="0.25">
      <c r="B9" s="1" t="s">
        <v>3</v>
      </c>
      <c r="C9" s="55" t="s">
        <v>30</v>
      </c>
      <c r="D9" s="256" t="str">
        <f>IF(LOCAL_DE_EXECUCAO="","",LOCAL_DE_EXECUCAO)</f>
        <v/>
      </c>
      <c r="E9" s="256"/>
      <c r="F9" s="256"/>
    </row>
    <row r="10" spans="2:14" s="107" customFormat="1" ht="18.75" customHeight="1" x14ac:dyDescent="0.4">
      <c r="B10" s="15" t="s">
        <v>4</v>
      </c>
      <c r="C10" s="161" t="s">
        <v>31</v>
      </c>
      <c r="D10" s="161"/>
      <c r="E10" s="161"/>
      <c r="F10" s="135" t="str">
        <f>ACORDO_COLETIVO</f>
        <v>12/2024</v>
      </c>
    </row>
    <row r="11" spans="2:14" s="107" customFormat="1" ht="15.9" customHeight="1" x14ac:dyDescent="0.4">
      <c r="B11" s="1" t="s">
        <v>5</v>
      </c>
      <c r="C11" s="256" t="s">
        <v>54</v>
      </c>
      <c r="D11" s="256"/>
      <c r="E11" s="256"/>
      <c r="F11" s="20">
        <f>NUMERO_MESES_EXEC_CONTRATUAL</f>
        <v>12</v>
      </c>
    </row>
    <row r="12" spans="2:14" s="107" customFormat="1" x14ac:dyDescent="0.4">
      <c r="B12" s="1" t="s">
        <v>6</v>
      </c>
      <c r="C12" s="257" t="s">
        <v>206</v>
      </c>
      <c r="D12" s="257"/>
      <c r="E12" s="257"/>
      <c r="F12" s="53">
        <f>IF(QTDE_DE_SERV=0,"",QTDE_DE_SERV)</f>
        <v>12.17604687</v>
      </c>
    </row>
    <row r="13" spans="2:14" s="121" customFormat="1" ht="15" customHeight="1" x14ac:dyDescent="0.25">
      <c r="B13" s="119" t="s">
        <v>128</v>
      </c>
      <c r="C13" s="120"/>
      <c r="D13" s="120"/>
      <c r="E13" s="120"/>
      <c r="F13" s="120"/>
    </row>
    <row r="14" spans="2:14" s="107" customFormat="1" x14ac:dyDescent="0.4">
      <c r="B14" s="15">
        <v>1</v>
      </c>
      <c r="C14" s="170" t="s">
        <v>50</v>
      </c>
      <c r="D14" s="170"/>
      <c r="E14" s="211" t="str">
        <f>TIPO_DE_SERVICO</f>
        <v>Limpeza e Conservação</v>
      </c>
      <c r="F14" s="211"/>
    </row>
    <row r="15" spans="2:14" s="107" customFormat="1" x14ac:dyDescent="0.4">
      <c r="B15" s="15">
        <v>2</v>
      </c>
      <c r="C15" s="17" t="s">
        <v>49</v>
      </c>
      <c r="D15" s="259" t="str">
        <f>CBO</f>
        <v>5143-20</v>
      </c>
      <c r="E15" s="259"/>
      <c r="F15" s="259"/>
    </row>
    <row r="16" spans="2:14" s="107" customFormat="1" ht="15" customHeight="1" x14ac:dyDescent="0.4">
      <c r="B16" s="15">
        <v>3</v>
      </c>
      <c r="C16" s="44" t="s">
        <v>51</v>
      </c>
      <c r="D16" s="211" t="str">
        <f>CATEGORIA_PROFISSIONAL_SERV</f>
        <v>Servente</v>
      </c>
      <c r="E16" s="211"/>
      <c r="F16" s="211"/>
    </row>
    <row r="17" spans="2:14" s="107" customFormat="1" ht="15" customHeight="1" x14ac:dyDescent="0.4">
      <c r="B17" s="15">
        <v>4</v>
      </c>
      <c r="C17" s="162" t="s">
        <v>52</v>
      </c>
      <c r="D17" s="162"/>
      <c r="E17" s="162"/>
      <c r="F17" s="141">
        <f>DATA_BASE_CATEGORIA</f>
        <v>45292</v>
      </c>
    </row>
    <row r="18" spans="2:14" s="122" customFormat="1" ht="20.25" customHeight="1" x14ac:dyDescent="0.4">
      <c r="B18" s="258" t="s">
        <v>34</v>
      </c>
      <c r="C18" s="258"/>
      <c r="D18" s="258"/>
      <c r="E18" s="258"/>
      <c r="F18" s="258"/>
    </row>
    <row r="19" spans="2:14" x14ac:dyDescent="0.4">
      <c r="B19" s="41" t="s">
        <v>8</v>
      </c>
      <c r="E19" s="7"/>
      <c r="F19" s="7"/>
    </row>
    <row r="20" spans="2:14" x14ac:dyDescent="0.4">
      <c r="B20" s="1">
        <v>1</v>
      </c>
      <c r="C20" s="169" t="s">
        <v>9</v>
      </c>
      <c r="D20" s="169"/>
      <c r="E20" s="169"/>
      <c r="F20" s="98" t="s">
        <v>12</v>
      </c>
    </row>
    <row r="21" spans="2:14" x14ac:dyDescent="0.4">
      <c r="B21" s="1" t="s">
        <v>2</v>
      </c>
      <c r="C21" s="235" t="s">
        <v>75</v>
      </c>
      <c r="D21" s="235"/>
      <c r="E21" s="235"/>
      <c r="F21" s="45">
        <f>SALARIO_NORMATIVO_SERV</f>
        <v>1629.62</v>
      </c>
    </row>
    <row r="22" spans="2:14" ht="16.5" customHeight="1" x14ac:dyDescent="0.4">
      <c r="B22" s="1" t="s">
        <v>3</v>
      </c>
      <c r="C22" s="218" t="s">
        <v>130</v>
      </c>
      <c r="D22" s="219"/>
      <c r="E22" s="220"/>
      <c r="F22" s="3">
        <f>IF(ADIC_INSALUB_SERV="SIM",PERC_ADIC_INSALUB%*SAL_MINIMO,0)</f>
        <v>0</v>
      </c>
      <c r="H22" s="6"/>
      <c r="I22" s="6"/>
      <c r="J22" s="6"/>
      <c r="K22" s="6"/>
      <c r="L22" s="6"/>
      <c r="M22" s="6"/>
      <c r="N22" s="6"/>
    </row>
    <row r="23" spans="2:14" x14ac:dyDescent="0.4">
      <c r="B23" s="1" t="s">
        <v>4</v>
      </c>
      <c r="C23" s="260" t="str">
        <f>OUTROS_REMUNERACAO_1_DESCRICAO</f>
        <v>Outras Remunerações 1 (Especificar)</v>
      </c>
      <c r="D23" s="261"/>
      <c r="E23" s="262"/>
      <c r="F23" s="45">
        <f>OUTROS_REMUNERACAO_1</f>
        <v>0</v>
      </c>
    </row>
    <row r="24" spans="2:14" ht="15.75" customHeight="1" x14ac:dyDescent="0.4">
      <c r="B24" s="1" t="s">
        <v>5</v>
      </c>
      <c r="C24" s="166" t="str">
        <f>OUTROS_REMUNERACAO_2_DESCRICAO</f>
        <v>Outras Remunerações 2 (Especificar)</v>
      </c>
      <c r="D24" s="167"/>
      <c r="E24" s="168"/>
      <c r="F24" s="3">
        <f>OUTROS_REMUNERACAO_2</f>
        <v>0</v>
      </c>
    </row>
    <row r="25" spans="2:14" ht="15.75" customHeight="1" x14ac:dyDescent="0.4">
      <c r="B25" s="1" t="s">
        <v>6</v>
      </c>
      <c r="C25" s="260" t="str">
        <f>OUTROS_REMUNERACAO_3_DESCRICAO</f>
        <v>Outras Remunerações 3 (Especificar)</v>
      </c>
      <c r="D25" s="261"/>
      <c r="E25" s="262"/>
      <c r="F25" s="45">
        <f>OUTROS_REMUNERACAO_3</f>
        <v>0</v>
      </c>
    </row>
    <row r="26" spans="2:14" ht="15.75" customHeight="1" x14ac:dyDescent="0.4">
      <c r="B26" s="263" t="s">
        <v>40</v>
      </c>
      <c r="C26" s="263"/>
      <c r="D26" s="263"/>
      <c r="E26" s="263"/>
      <c r="F26" s="31">
        <f>SUM(F21:F25)</f>
        <v>1629.62</v>
      </c>
      <c r="L26" s="123"/>
      <c r="M26" s="123"/>
    </row>
    <row r="27" spans="2:14" x14ac:dyDescent="0.4">
      <c r="B27" s="41" t="s">
        <v>55</v>
      </c>
      <c r="E27" s="11"/>
      <c r="F27" s="11"/>
      <c r="L27" s="123"/>
      <c r="M27" s="123"/>
    </row>
    <row r="28" spans="2:14" x14ac:dyDescent="0.4">
      <c r="B28" s="41" t="s">
        <v>91</v>
      </c>
      <c r="C28" s="5"/>
      <c r="D28" s="12"/>
      <c r="E28" s="10"/>
      <c r="F28" s="10"/>
      <c r="L28" s="123"/>
      <c r="M28" s="123"/>
      <c r="N28" s="124"/>
    </row>
    <row r="29" spans="2:14" x14ac:dyDescent="0.4">
      <c r="B29" s="1" t="s">
        <v>56</v>
      </c>
      <c r="C29" s="234" t="s">
        <v>76</v>
      </c>
      <c r="D29" s="234"/>
      <c r="E29" s="98" t="s">
        <v>1</v>
      </c>
      <c r="F29" s="98" t="s">
        <v>12</v>
      </c>
      <c r="L29" s="123"/>
      <c r="M29" s="123"/>
      <c r="N29" s="125"/>
    </row>
    <row r="30" spans="2:14" x14ac:dyDescent="0.4">
      <c r="B30" s="1" t="s">
        <v>2</v>
      </c>
      <c r="C30" s="240" t="s">
        <v>41</v>
      </c>
      <c r="D30" s="240"/>
      <c r="E30" s="47">
        <f>PERC_DEC_TERC</f>
        <v>8.33</v>
      </c>
      <c r="F30" s="46">
        <f>PERC_DEC_TERC%*MOD_1_REMUNERACAO_SERV</f>
        <v>135.75</v>
      </c>
      <c r="L30" s="123"/>
      <c r="M30" s="123"/>
      <c r="N30" s="125"/>
    </row>
    <row r="31" spans="2:14" x14ac:dyDescent="0.4">
      <c r="B31" s="2" t="s">
        <v>3</v>
      </c>
      <c r="C31" s="242" t="s">
        <v>77</v>
      </c>
      <c r="D31" s="242"/>
      <c r="E31" s="29">
        <f>PERC_ADIC_FERIAS</f>
        <v>2.78</v>
      </c>
      <c r="F31" s="27">
        <f>PERC_ADIC_FERIAS%*MOD_1_REMUNERACAO_SERV</f>
        <v>45.3</v>
      </c>
      <c r="L31" s="123"/>
      <c r="M31" s="123"/>
      <c r="N31" s="125"/>
    </row>
    <row r="32" spans="2:14" x14ac:dyDescent="0.4">
      <c r="B32" s="228" t="s">
        <v>40</v>
      </c>
      <c r="C32" s="229"/>
      <c r="D32" s="229"/>
      <c r="E32" s="230"/>
      <c r="F32" s="32">
        <f>SUM(F30:F31)</f>
        <v>181.05</v>
      </c>
      <c r="L32" s="123"/>
      <c r="M32" s="123"/>
    </row>
    <row r="33" spans="2:14" x14ac:dyDescent="0.4">
      <c r="B33" s="264" t="s">
        <v>57</v>
      </c>
      <c r="C33" s="264"/>
      <c r="D33" s="264"/>
      <c r="E33" s="264"/>
      <c r="F33" s="264"/>
      <c r="L33" s="123"/>
      <c r="M33" s="123"/>
    </row>
    <row r="34" spans="2:14" x14ac:dyDescent="0.4">
      <c r="B34" s="1" t="s">
        <v>58</v>
      </c>
      <c r="C34" s="243" t="s">
        <v>78</v>
      </c>
      <c r="D34" s="243"/>
      <c r="E34" s="98" t="s">
        <v>1</v>
      </c>
      <c r="F34" s="98" t="s">
        <v>12</v>
      </c>
      <c r="L34" s="123"/>
      <c r="M34" s="123"/>
    </row>
    <row r="35" spans="2:14" x14ac:dyDescent="0.4">
      <c r="B35" s="1" t="s">
        <v>2</v>
      </c>
      <c r="C35" s="240" t="s">
        <v>35</v>
      </c>
      <c r="D35" s="240"/>
      <c r="E35" s="47">
        <f>PERC_INSS</f>
        <v>20</v>
      </c>
      <c r="F35" s="46">
        <f>PERC_INSS%*(MOD_1_REMUNERACAO_SERV+SUBMOD_2_1_DEC_TERC_ADIC_FERIAS_SERV)</f>
        <v>362.13</v>
      </c>
      <c r="L35" s="123"/>
      <c r="M35" s="123"/>
    </row>
    <row r="36" spans="2:14" s="115" customFormat="1" x14ac:dyDescent="0.4">
      <c r="B36" s="2" t="s">
        <v>3</v>
      </c>
      <c r="C36" s="242" t="s">
        <v>37</v>
      </c>
      <c r="D36" s="242"/>
      <c r="E36" s="36">
        <f>PERC_SAL_EDUCACAO</f>
        <v>2.5</v>
      </c>
      <c r="F36" s="27">
        <f>PERC_SAL_EDUCACAO%*(MOD_1_REMUNERACAO_SERV+SUBMOD_2_1_DEC_TERC_ADIC_FERIAS_SERV)</f>
        <v>45.27</v>
      </c>
      <c r="H36" s="123"/>
      <c r="I36" s="123"/>
      <c r="J36" s="123"/>
      <c r="K36" s="123"/>
      <c r="L36" s="123"/>
      <c r="M36" s="123"/>
      <c r="N36" s="72"/>
    </row>
    <row r="37" spans="2:14" s="115" customFormat="1" x14ac:dyDescent="0.4">
      <c r="B37" s="2" t="s">
        <v>4</v>
      </c>
      <c r="C37" s="240" t="s">
        <v>73</v>
      </c>
      <c r="D37" s="240"/>
      <c r="E37" s="47">
        <f>PERC_RAT</f>
        <v>3</v>
      </c>
      <c r="F37" s="46">
        <f>PERC_RAT%*(MOD_1_REMUNERACAO_SERV+SUBMOD_2_1_DEC_TERC_ADIC_FERIAS_SERV)</f>
        <v>54.32</v>
      </c>
      <c r="H37" s="123"/>
      <c r="I37" s="123"/>
      <c r="J37" s="123"/>
      <c r="K37" s="123"/>
      <c r="L37" s="123"/>
      <c r="M37" s="123"/>
      <c r="N37" s="72"/>
    </row>
    <row r="38" spans="2:14" s="115" customFormat="1" x14ac:dyDescent="0.4">
      <c r="B38" s="2" t="s">
        <v>5</v>
      </c>
      <c r="C38" s="242" t="s">
        <v>71</v>
      </c>
      <c r="D38" s="242"/>
      <c r="E38" s="29">
        <f>PERC_SESC</f>
        <v>1.5</v>
      </c>
      <c r="F38" s="27">
        <f>PERC_SESC%*(MOD_1_REMUNERACAO_SERV+SUBMOD_2_1_DEC_TERC_ADIC_FERIAS_SERV)</f>
        <v>27.16</v>
      </c>
      <c r="H38" s="123"/>
      <c r="I38" s="123"/>
      <c r="J38" s="123"/>
      <c r="K38" s="123"/>
      <c r="L38" s="123"/>
      <c r="M38" s="123"/>
      <c r="N38" s="72"/>
    </row>
    <row r="39" spans="2:14" x14ac:dyDescent="0.4">
      <c r="B39" s="2" t="s">
        <v>6</v>
      </c>
      <c r="C39" s="240" t="s">
        <v>72</v>
      </c>
      <c r="D39" s="240"/>
      <c r="E39" s="47">
        <f>PERC_SENAC</f>
        <v>1</v>
      </c>
      <c r="F39" s="46">
        <f>PERC_SENAC%*(MOD_1_REMUNERACAO_SERV+SUBMOD_2_1_DEC_TERC_ADIC_FERIAS_SERV)</f>
        <v>18.11</v>
      </c>
      <c r="L39" s="123"/>
      <c r="M39" s="123"/>
    </row>
    <row r="40" spans="2:14" s="107" customFormat="1" x14ac:dyDescent="0.25">
      <c r="B40" s="2" t="s">
        <v>7</v>
      </c>
      <c r="C40" s="242" t="s">
        <v>39</v>
      </c>
      <c r="D40" s="242"/>
      <c r="E40" s="36">
        <f>PERC_SEBRAE</f>
        <v>0.6</v>
      </c>
      <c r="F40" s="27">
        <f>PERC_SEBRAE%*(MOD_1_REMUNERACAO_SERV+SUBMOD_2_1_DEC_TERC_ADIC_FERIAS_SERV)</f>
        <v>10.86</v>
      </c>
      <c r="H40" s="72"/>
      <c r="I40" s="72"/>
      <c r="J40" s="72"/>
      <c r="K40" s="72"/>
      <c r="L40" s="72"/>
      <c r="M40" s="72"/>
      <c r="N40" s="72"/>
    </row>
    <row r="41" spans="2:14" s="107" customFormat="1" x14ac:dyDescent="0.25">
      <c r="B41" s="2" t="s">
        <v>10</v>
      </c>
      <c r="C41" s="240" t="s">
        <v>36</v>
      </c>
      <c r="D41" s="240"/>
      <c r="E41" s="47">
        <f>PERC_INCRA</f>
        <v>0.2</v>
      </c>
      <c r="F41" s="46">
        <f>PERC_INCRA%*(MOD_1_REMUNERACAO_SERV+SUBMOD_2_1_DEC_TERC_ADIC_FERIAS_SERV)</f>
        <v>3.62</v>
      </c>
      <c r="H41" s="72"/>
      <c r="I41" s="72"/>
      <c r="J41" s="72"/>
      <c r="K41" s="72"/>
      <c r="L41" s="72"/>
      <c r="M41" s="72"/>
      <c r="N41" s="72"/>
    </row>
    <row r="42" spans="2:14" s="107" customFormat="1" x14ac:dyDescent="0.25">
      <c r="B42" s="2" t="s">
        <v>11</v>
      </c>
      <c r="C42" s="242" t="s">
        <v>38</v>
      </c>
      <c r="D42" s="242"/>
      <c r="E42" s="36">
        <f>PERC_FGTS</f>
        <v>8</v>
      </c>
      <c r="F42" s="27">
        <f>PERC_FGTS%*(MOD_1_REMUNERACAO_SERV+SUBMOD_2_1_DEC_TERC_ADIC_FERIAS_SERV)</f>
        <v>144.85</v>
      </c>
      <c r="H42" s="72"/>
      <c r="I42" s="72"/>
      <c r="J42" s="72"/>
      <c r="K42" s="72"/>
      <c r="L42" s="72"/>
      <c r="M42" s="72"/>
      <c r="N42" s="72"/>
    </row>
    <row r="43" spans="2:14" s="107" customFormat="1" x14ac:dyDescent="0.25">
      <c r="B43" s="228" t="s">
        <v>40</v>
      </c>
      <c r="C43" s="229"/>
      <c r="D43" s="229"/>
      <c r="E43" s="230"/>
      <c r="F43" s="33">
        <f>SUM(F35:F42)</f>
        <v>666.32</v>
      </c>
      <c r="H43" s="72"/>
      <c r="I43" s="72"/>
      <c r="J43" s="72"/>
      <c r="K43" s="72"/>
      <c r="L43" s="72"/>
      <c r="M43" s="72"/>
      <c r="N43" s="72"/>
    </row>
    <row r="44" spans="2:14" s="107" customFormat="1" x14ac:dyDescent="0.4">
      <c r="B44" s="41" t="s">
        <v>60</v>
      </c>
      <c r="H44" s="72"/>
      <c r="I44" s="72"/>
      <c r="J44" s="72"/>
      <c r="K44" s="72"/>
      <c r="L44" s="72"/>
      <c r="M44" s="72"/>
      <c r="N44" s="72"/>
    </row>
    <row r="45" spans="2:14" s="107" customFormat="1" x14ac:dyDescent="0.25">
      <c r="B45" s="1" t="s">
        <v>74</v>
      </c>
      <c r="C45" s="169" t="s">
        <v>13</v>
      </c>
      <c r="D45" s="169"/>
      <c r="E45" s="169"/>
      <c r="F45" s="98" t="s">
        <v>12</v>
      </c>
      <c r="H45" s="126"/>
      <c r="I45" s="126"/>
      <c r="J45" s="126"/>
      <c r="K45" s="126"/>
      <c r="L45" s="126"/>
      <c r="M45" s="126"/>
      <c r="N45" s="126"/>
    </row>
    <row r="46" spans="2:14" x14ac:dyDescent="0.4">
      <c r="B46" s="15" t="s">
        <v>2</v>
      </c>
      <c r="C46" s="240" t="s">
        <v>14</v>
      </c>
      <c r="D46" s="240"/>
      <c r="E46" s="240"/>
      <c r="F46" s="46">
        <f>IF(((TRANSPORTE_POR_DIA*DIAS_TRABALHADOS_NO_MES)-(PERC_DESC_TRANSP_REMUNERACAO%*(AL_1_A_SAL_BASE_SERV)))&gt;0,((TRANSPORTE_POR_DIA*DIAS_TRABALHADOS_NO_MES)-(PERC_DESC_TRANSP_REMUNERACAO%*(AL_1_A_SAL_BASE_SERV))),0)</f>
        <v>311.42</v>
      </c>
      <c r="H46" s="126"/>
      <c r="I46" s="126"/>
      <c r="J46" s="126"/>
      <c r="K46" s="126"/>
      <c r="L46" s="126"/>
      <c r="M46" s="126"/>
      <c r="N46" s="126"/>
    </row>
    <row r="47" spans="2:14" x14ac:dyDescent="0.4">
      <c r="B47" s="15" t="s">
        <v>3</v>
      </c>
      <c r="C47" s="242" t="s">
        <v>59</v>
      </c>
      <c r="D47" s="242"/>
      <c r="E47" s="242"/>
      <c r="F47" s="27">
        <f>ALIMENTACAO_POR_DIA*DIAS_TRABALHADOS_NO_MES</f>
        <v>928.4</v>
      </c>
      <c r="H47" s="126"/>
      <c r="I47" s="126"/>
      <c r="J47" s="126"/>
      <c r="K47" s="126"/>
      <c r="L47" s="126"/>
      <c r="M47" s="126"/>
      <c r="N47" s="126"/>
    </row>
    <row r="48" spans="2:14" ht="15.75" customHeight="1" x14ac:dyDescent="0.4">
      <c r="B48" s="15" t="s">
        <v>4</v>
      </c>
      <c r="C48" s="260" t="str">
        <f>OUTROS_BENEFICIOS_1_DESCRICAO</f>
        <v>Outros Benefícios 1 (Especificar)</v>
      </c>
      <c r="D48" s="261"/>
      <c r="E48" s="262"/>
      <c r="F48" s="46">
        <f>OUTROS_BENEFICIOS_1</f>
        <v>0</v>
      </c>
      <c r="H48" s="126"/>
      <c r="I48" s="126"/>
      <c r="J48" s="126"/>
      <c r="K48" s="126"/>
      <c r="L48" s="126"/>
      <c r="M48" s="126"/>
      <c r="N48" s="126"/>
    </row>
    <row r="49" spans="2:14" ht="15.75" customHeight="1" x14ac:dyDescent="0.4">
      <c r="B49" s="15" t="s">
        <v>5</v>
      </c>
      <c r="C49" s="166" t="str">
        <f>OUTROS_BENEFICIOS_2_DESCRICAO</f>
        <v>Outros Benefícios 2 (Especificar)</v>
      </c>
      <c r="D49" s="167"/>
      <c r="E49" s="168"/>
      <c r="F49" s="27">
        <f>OUTROS_BENEFICIOS_2</f>
        <v>0</v>
      </c>
      <c r="L49" s="123"/>
      <c r="M49" s="123"/>
      <c r="N49" s="127"/>
    </row>
    <row r="50" spans="2:14" x14ac:dyDescent="0.4">
      <c r="B50" s="15" t="s">
        <v>6</v>
      </c>
      <c r="C50" s="260" t="str">
        <f>OUTROS_BENEFICIOS_3_DESCRICAO</f>
        <v>Outros Benefícios 3 (Especificar)</v>
      </c>
      <c r="D50" s="261"/>
      <c r="E50" s="262"/>
      <c r="F50" s="46">
        <f>OUTROS_BENEFICIOS_3</f>
        <v>0</v>
      </c>
      <c r="L50" s="123"/>
      <c r="M50" s="123"/>
      <c r="N50" s="127"/>
    </row>
    <row r="51" spans="2:14" s="115" customFormat="1" x14ac:dyDescent="0.4">
      <c r="B51" s="263" t="s">
        <v>40</v>
      </c>
      <c r="C51" s="263"/>
      <c r="D51" s="263"/>
      <c r="E51" s="263"/>
      <c r="F51" s="31">
        <f>SUM(F46:F50)</f>
        <v>1239.82</v>
      </c>
      <c r="H51" s="123"/>
      <c r="I51" s="123"/>
      <c r="J51" s="123"/>
      <c r="K51" s="123"/>
      <c r="L51" s="123"/>
      <c r="M51" s="123"/>
      <c r="N51" s="127"/>
    </row>
    <row r="52" spans="2:14" s="115" customFormat="1" x14ac:dyDescent="0.4">
      <c r="B52" s="41" t="s">
        <v>61</v>
      </c>
      <c r="C52" s="5"/>
      <c r="D52" s="12"/>
      <c r="E52" s="10"/>
      <c r="F52" s="10"/>
      <c r="H52" s="123"/>
      <c r="I52" s="123"/>
      <c r="J52" s="123"/>
      <c r="K52" s="123"/>
      <c r="L52" s="123"/>
      <c r="M52" s="123"/>
      <c r="N52" s="72"/>
    </row>
    <row r="53" spans="2:14" s="115" customFormat="1" x14ac:dyDescent="0.4">
      <c r="B53" s="1">
        <v>3</v>
      </c>
      <c r="C53" s="234" t="s">
        <v>42</v>
      </c>
      <c r="D53" s="234"/>
      <c r="E53" s="98" t="s">
        <v>1</v>
      </c>
      <c r="F53" s="98" t="s">
        <v>12</v>
      </c>
      <c r="H53" s="123"/>
      <c r="I53" s="123"/>
      <c r="J53" s="123"/>
      <c r="K53" s="123"/>
      <c r="L53" s="123"/>
      <c r="M53" s="123"/>
      <c r="N53" s="72"/>
    </row>
    <row r="54" spans="2:14" s="115" customFormat="1" x14ac:dyDescent="0.4">
      <c r="B54" s="1" t="s">
        <v>2</v>
      </c>
      <c r="C54" s="241" t="s">
        <v>43</v>
      </c>
      <c r="D54" s="241"/>
      <c r="E54" s="47">
        <f>PERC_AVISO_PREVIO_IND</f>
        <v>0.26</v>
      </c>
      <c r="F54" s="46">
        <f>PERC_AVISO_PREVIO_IND%*(MOD_1_REMUNERACAO_SERV+SUBMOD_2_1_DEC_TERC_ADIC_FERIAS_SERV+AL_2_2_FGTS_SERV+SUBMOD_2_3_BENEFICIOS_SERV)</f>
        <v>8.31</v>
      </c>
      <c r="H54" s="123"/>
      <c r="I54" s="123"/>
      <c r="J54" s="123"/>
      <c r="K54" s="123"/>
      <c r="L54" s="123"/>
      <c r="M54" s="123"/>
      <c r="N54" s="72"/>
    </row>
    <row r="55" spans="2:14" s="115" customFormat="1" ht="15" customHeight="1" x14ac:dyDescent="0.4">
      <c r="B55" s="2" t="s">
        <v>3</v>
      </c>
      <c r="C55" s="245" t="s">
        <v>44</v>
      </c>
      <c r="D55" s="245"/>
      <c r="E55" s="36">
        <f>PERC_AVISO_PREVIO_TRAB</f>
        <v>1.03</v>
      </c>
      <c r="F55" s="27">
        <f>PERC_AVISO_PREVIO_TRAB%*(MOD_1_REMUNERACAO_SERV+SUBMOD_2_1_DEC_TERC_ADIC_FERIAS_SERV+SUBMOD_2_2_GPS_FGTS_SERV+SUBMOD_2_3_BENEFICIOS_SERV)</f>
        <v>38.28</v>
      </c>
      <c r="H55" s="123"/>
      <c r="I55" s="123"/>
      <c r="J55" s="123"/>
      <c r="K55" s="123"/>
      <c r="L55" s="123"/>
      <c r="M55" s="123"/>
      <c r="N55" s="72"/>
    </row>
    <row r="56" spans="2:14" s="115" customFormat="1" ht="16.5" customHeight="1" x14ac:dyDescent="0.4">
      <c r="B56" s="2" t="s">
        <v>4</v>
      </c>
      <c r="C56" s="241" t="s">
        <v>257</v>
      </c>
      <c r="D56" s="241"/>
      <c r="E56" s="47">
        <f>PERC_MULTA_FGTS_AV_PREV_TRAB</f>
        <v>0.04</v>
      </c>
      <c r="F56" s="46">
        <f>PERC_MULTA_FGTS_AV_PREV_TRAB%*(MOD_1_REMUNERACAO_SERV+SUBMOD_2_1_DEC_TERC_ADIC_FERIAS_SERV)</f>
        <v>0.72</v>
      </c>
      <c r="H56" s="123"/>
      <c r="I56" s="123"/>
      <c r="J56" s="123"/>
      <c r="K56" s="123"/>
      <c r="L56" s="123"/>
      <c r="M56" s="123"/>
      <c r="N56" s="72"/>
    </row>
    <row r="57" spans="2:14" s="107" customFormat="1" x14ac:dyDescent="0.4">
      <c r="B57" s="228" t="s">
        <v>40</v>
      </c>
      <c r="C57" s="229"/>
      <c r="D57" s="229"/>
      <c r="E57" s="230"/>
      <c r="F57" s="32">
        <f>SUM(F54:F56)</f>
        <v>47.31</v>
      </c>
      <c r="H57" s="123"/>
      <c r="I57" s="123"/>
      <c r="J57" s="123"/>
      <c r="K57" s="123"/>
      <c r="L57" s="123"/>
      <c r="M57" s="123"/>
      <c r="N57" s="72"/>
    </row>
    <row r="58" spans="2:14" s="107" customFormat="1" x14ac:dyDescent="0.4">
      <c r="B58" s="41" t="s">
        <v>62</v>
      </c>
      <c r="C58" s="5"/>
      <c r="D58" s="12"/>
      <c r="E58" s="6"/>
      <c r="F58" s="6"/>
      <c r="H58" s="123"/>
      <c r="I58" s="123"/>
      <c r="J58" s="123"/>
      <c r="K58" s="123"/>
      <c r="L58" s="123"/>
      <c r="M58" s="123"/>
      <c r="N58" s="72"/>
    </row>
    <row r="59" spans="2:14" s="107" customFormat="1" x14ac:dyDescent="0.4">
      <c r="B59" s="41" t="s">
        <v>83</v>
      </c>
      <c r="C59" s="5"/>
      <c r="D59" s="12"/>
      <c r="E59" s="10"/>
      <c r="F59" s="10"/>
      <c r="H59" s="128"/>
      <c r="I59" s="128"/>
      <c r="J59" s="128"/>
      <c r="K59" s="128"/>
      <c r="L59" s="123"/>
      <c r="M59" s="123"/>
      <c r="N59" s="72"/>
    </row>
    <row r="60" spans="2:14" s="107" customFormat="1" x14ac:dyDescent="0.25">
      <c r="B60" s="1" t="s">
        <v>19</v>
      </c>
      <c r="C60" s="246" t="s">
        <v>84</v>
      </c>
      <c r="D60" s="246"/>
      <c r="E60" s="98" t="s">
        <v>1</v>
      </c>
      <c r="F60" s="98" t="s">
        <v>12</v>
      </c>
      <c r="H60" s="128"/>
      <c r="I60" s="128"/>
      <c r="J60" s="128"/>
      <c r="K60" s="128"/>
      <c r="L60" s="123"/>
      <c r="M60" s="123"/>
      <c r="N60" s="72"/>
    </row>
    <row r="61" spans="2:14" x14ac:dyDescent="0.4">
      <c r="B61" s="2" t="s">
        <v>2</v>
      </c>
      <c r="C61" s="240" t="s">
        <v>85</v>
      </c>
      <c r="D61" s="240"/>
      <c r="E61" s="47">
        <f>PERC_SUBSTITUTO_FERIAS</f>
        <v>8.33</v>
      </c>
      <c r="F61" s="46">
        <f>PERC_SUBSTITUTO_FERIAS%*(MOD_1_REMUNERACAO_SERV+MOD_2_ENCARGOS_BENEFICIOS_SERV+MOD_3_PROVISAO_RESCISAO_SERV)</f>
        <v>313.55</v>
      </c>
      <c r="H61" s="128"/>
      <c r="I61" s="128"/>
      <c r="J61" s="128"/>
      <c r="K61" s="128"/>
      <c r="L61" s="123"/>
      <c r="M61" s="123"/>
    </row>
    <row r="62" spans="2:14" s="107" customFormat="1" ht="15.9" customHeight="1" x14ac:dyDescent="0.25">
      <c r="B62" s="2" t="s">
        <v>3</v>
      </c>
      <c r="C62" s="242" t="s">
        <v>86</v>
      </c>
      <c r="D62" s="242"/>
      <c r="E62" s="36">
        <f>PERC_SUBSTITUTO_AUSENCIAS_LEGAIS</f>
        <v>2.2200000000000002</v>
      </c>
      <c r="F62" s="27">
        <f>PERC_SUBSTITUTO_AUSENCIAS_LEGAIS%*(MOD_1_REMUNERACAO_SERV+MOD_2_ENCARGOS_BENEFICIOS_SERV+MOD_3_PROVISAO_RESCISAO_SERV)</f>
        <v>83.56</v>
      </c>
      <c r="H62" s="128"/>
      <c r="I62" s="128"/>
      <c r="J62" s="128"/>
      <c r="K62" s="128"/>
      <c r="L62" s="123"/>
      <c r="M62" s="123"/>
      <c r="N62" s="72"/>
    </row>
    <row r="63" spans="2:14" s="107" customFormat="1" ht="15.9" customHeight="1" x14ac:dyDescent="0.25">
      <c r="B63" s="2" t="s">
        <v>4</v>
      </c>
      <c r="C63" s="240" t="s">
        <v>87</v>
      </c>
      <c r="D63" s="240"/>
      <c r="E63" s="47">
        <f>PERC_SUBSTITUTO_LICENCA_PATERNIDADE</f>
        <v>0.04</v>
      </c>
      <c r="F63" s="46">
        <f>PERC_SUBSTITUTO_LICENCA_PATERNIDADE%*(MOD_1_REMUNERACAO_SERV+MOD_2_ENCARGOS_BENEFICIOS_SERV+MOD_3_PROVISAO_RESCISAO_SERV)</f>
        <v>1.51</v>
      </c>
      <c r="H63" s="128"/>
      <c r="I63" s="128"/>
      <c r="J63" s="128"/>
      <c r="K63" s="128"/>
      <c r="L63" s="123"/>
      <c r="M63" s="123"/>
      <c r="N63" s="128"/>
    </row>
    <row r="64" spans="2:14" s="107" customFormat="1" x14ac:dyDescent="0.25">
      <c r="B64" s="2" t="s">
        <v>5</v>
      </c>
      <c r="C64" s="242" t="s">
        <v>88</v>
      </c>
      <c r="D64" s="242"/>
      <c r="E64" s="36">
        <f>PERC_SUBSTITUTO_ACID_TRAB</f>
        <v>0.02</v>
      </c>
      <c r="F64" s="27">
        <f>PERC_SUBSTITUTO_ACID_TRAB%*(MOD_1_REMUNERACAO_SERV+MOD_2_ENCARGOS_BENEFICIOS_SERV+MOD_3_PROVISAO_RESCISAO_SERV)</f>
        <v>0.75</v>
      </c>
      <c r="H64" s="128"/>
      <c r="I64" s="128"/>
      <c r="J64" s="128"/>
      <c r="K64" s="128"/>
      <c r="L64" s="123"/>
      <c r="M64" s="123"/>
      <c r="N64" s="128"/>
    </row>
    <row r="65" spans="2:14" s="107" customFormat="1" ht="15.9" customHeight="1" x14ac:dyDescent="0.25">
      <c r="B65" s="2" t="s">
        <v>6</v>
      </c>
      <c r="C65" s="240" t="s">
        <v>89</v>
      </c>
      <c r="D65" s="240"/>
      <c r="E65" s="47">
        <f>PERC_SUBSTITUTO_AFAST_MATERN</f>
        <v>0.14000000000000001</v>
      </c>
      <c r="F65" s="46">
        <f>PERC_SUBSTITUTO_AFAST_MATERN%*(MOD_1_REMUNERACAO_SERV+MOD_2_ENCARGOS_BENEFICIOS_SERV+MOD_3_PROVISAO_RESCISAO_SERV)</f>
        <v>5.27</v>
      </c>
      <c r="H65" s="128"/>
      <c r="I65" s="128"/>
      <c r="J65" s="128"/>
      <c r="K65" s="128"/>
      <c r="L65" s="123"/>
      <c r="M65" s="123"/>
      <c r="N65" s="128"/>
    </row>
    <row r="66" spans="2:14" s="107" customFormat="1" ht="15.9" customHeight="1" x14ac:dyDescent="0.25">
      <c r="B66" s="2" t="s">
        <v>7</v>
      </c>
      <c r="C66" s="266" t="str">
        <f>OUTRAS_AUSENCIAS_DESCRICAO</f>
        <v>Outras Ausências (Especificar em %)</v>
      </c>
      <c r="D66" s="242"/>
      <c r="E66" s="43">
        <f>PERC_SUBSTITUTO_OUTRAS_AUSENCIAS</f>
        <v>0</v>
      </c>
      <c r="F66" s="27">
        <f>PERC_SUBSTITUTO_OUTRAS_AUSENCIAS%*(MOD_1_REMUNERACAO_SERV+MOD_2_ENCARGOS_BENEFICIOS_SERV+MOD_3_PROVISAO_RESCISAO_SERV)</f>
        <v>0</v>
      </c>
      <c r="H66" s="128"/>
      <c r="I66" s="128"/>
      <c r="J66" s="128"/>
      <c r="K66" s="128"/>
      <c r="L66" s="123"/>
      <c r="M66" s="123"/>
      <c r="N66" s="128"/>
    </row>
    <row r="67" spans="2:14" s="107" customFormat="1" ht="15.9" customHeight="1" x14ac:dyDescent="0.4">
      <c r="B67" s="228" t="s">
        <v>40</v>
      </c>
      <c r="C67" s="229"/>
      <c r="D67" s="229"/>
      <c r="E67" s="230"/>
      <c r="F67" s="32">
        <f>SUM(F61:F66)</f>
        <v>404.64</v>
      </c>
      <c r="H67" s="128"/>
      <c r="I67" s="128"/>
      <c r="J67" s="128"/>
      <c r="K67" s="128"/>
      <c r="L67" s="123"/>
      <c r="M67" s="123"/>
      <c r="N67" s="128"/>
    </row>
    <row r="68" spans="2:14" s="107" customFormat="1" x14ac:dyDescent="0.4">
      <c r="B68" s="41" t="s">
        <v>250</v>
      </c>
      <c r="C68" s="5"/>
      <c r="D68" s="12"/>
      <c r="E68" s="10"/>
      <c r="F68" s="10"/>
      <c r="H68" s="128"/>
      <c r="I68" s="128"/>
      <c r="J68" s="128"/>
      <c r="K68" s="128"/>
      <c r="L68" s="123"/>
      <c r="M68" s="123"/>
      <c r="N68" s="128"/>
    </row>
    <row r="69" spans="2:14" s="107" customFormat="1" x14ac:dyDescent="0.25">
      <c r="B69" s="1" t="s">
        <v>20</v>
      </c>
      <c r="C69" s="234" t="s">
        <v>249</v>
      </c>
      <c r="D69" s="234"/>
      <c r="E69" s="234"/>
      <c r="F69" s="98" t="s">
        <v>12</v>
      </c>
      <c r="H69" s="128"/>
      <c r="I69" s="128"/>
      <c r="J69" s="128"/>
      <c r="K69" s="128"/>
      <c r="L69" s="123"/>
      <c r="M69" s="123"/>
      <c r="N69" s="128"/>
    </row>
    <row r="70" spans="2:14" s="107" customFormat="1" x14ac:dyDescent="0.25">
      <c r="B70" s="1" t="s">
        <v>2</v>
      </c>
      <c r="C70" s="240" t="s">
        <v>90</v>
      </c>
      <c r="D70" s="240"/>
      <c r="E70" s="240"/>
      <c r="F70" s="45">
        <f>IF(DIAS_TRABALHADOS_NO_MES=15,((MOD_1_REMUNERACAO_SERV+MOD_2_ENCARGOS_BENEFICIOS_SERV+MOD_3_PROVISAO_RESCISAO_SERV)/DIVISOR_DE_HORAS)*((TEMPO_INTERVALO_REFEICAO/HORA_NORMAL)+PERC_HORA_EXTRA%)*DIAS_TRABALHADOS_NO_MES,0)</f>
        <v>0</v>
      </c>
      <c r="H70" s="128"/>
      <c r="I70" s="128"/>
      <c r="J70" s="128"/>
      <c r="K70" s="128"/>
      <c r="L70" s="123"/>
      <c r="M70" s="123"/>
      <c r="N70" s="128"/>
    </row>
    <row r="71" spans="2:14" s="107" customFormat="1" x14ac:dyDescent="0.4">
      <c r="B71" s="234" t="s">
        <v>40</v>
      </c>
      <c r="C71" s="234"/>
      <c r="D71" s="234"/>
      <c r="E71" s="234"/>
      <c r="F71" s="32">
        <f>SUM(F70)</f>
        <v>0</v>
      </c>
      <c r="H71" s="128"/>
      <c r="I71" s="128"/>
      <c r="J71" s="128"/>
      <c r="K71" s="128"/>
      <c r="L71" s="123"/>
      <c r="M71" s="123"/>
      <c r="N71" s="128"/>
    </row>
    <row r="72" spans="2:14" s="107" customFormat="1" x14ac:dyDescent="0.4">
      <c r="B72" s="41" t="s">
        <v>66</v>
      </c>
      <c r="C72" s="5"/>
      <c r="D72" s="5"/>
      <c r="E72" s="10"/>
      <c r="F72" s="10"/>
      <c r="H72" s="128"/>
      <c r="I72" s="128"/>
      <c r="J72" s="128"/>
      <c r="K72" s="128"/>
      <c r="L72" s="123"/>
      <c r="M72" s="123"/>
      <c r="N72" s="128"/>
    </row>
    <row r="73" spans="2:14" s="107" customFormat="1" x14ac:dyDescent="0.25">
      <c r="B73" s="39">
        <v>5</v>
      </c>
      <c r="C73" s="231" t="s">
        <v>0</v>
      </c>
      <c r="D73" s="231"/>
      <c r="E73" s="231"/>
      <c r="F73" s="40" t="s">
        <v>12</v>
      </c>
      <c r="H73" s="123"/>
      <c r="I73" s="123"/>
      <c r="J73" s="123"/>
      <c r="K73" s="123"/>
      <c r="L73" s="123"/>
      <c r="M73" s="123"/>
      <c r="N73" s="128"/>
    </row>
    <row r="74" spans="2:14" s="107" customFormat="1" x14ac:dyDescent="0.4">
      <c r="B74" s="35" t="s">
        <v>2</v>
      </c>
      <c r="C74" s="232" t="s">
        <v>15</v>
      </c>
      <c r="D74" s="232"/>
      <c r="E74" s="232"/>
      <c r="F74" s="48">
        <f>UNIFORMES</f>
        <v>90.39</v>
      </c>
      <c r="H74" s="123"/>
      <c r="I74" s="123"/>
      <c r="J74" s="123"/>
      <c r="K74" s="123"/>
      <c r="L74" s="123"/>
      <c r="M74" s="123"/>
      <c r="N74" s="128"/>
    </row>
    <row r="75" spans="2:14" x14ac:dyDescent="0.4">
      <c r="B75" s="35" t="s">
        <v>3</v>
      </c>
      <c r="C75" s="233" t="s">
        <v>17</v>
      </c>
      <c r="D75" s="233"/>
      <c r="E75" s="233"/>
      <c r="F75" s="37">
        <f>MATERIAIS</f>
        <v>894.57</v>
      </c>
      <c r="L75" s="123"/>
      <c r="M75" s="123"/>
      <c r="N75" s="128"/>
    </row>
    <row r="76" spans="2:14" x14ac:dyDescent="0.4">
      <c r="B76" s="35" t="s">
        <v>4</v>
      </c>
      <c r="C76" s="232" t="s">
        <v>16</v>
      </c>
      <c r="D76" s="232"/>
      <c r="E76" s="232"/>
      <c r="F76" s="48">
        <f>EQUIPAMENTOS</f>
        <v>37.229999999999997</v>
      </c>
      <c r="L76" s="123"/>
      <c r="M76" s="123"/>
      <c r="N76" s="128"/>
    </row>
    <row r="77" spans="2:14" ht="15.75" customHeight="1" x14ac:dyDescent="0.4">
      <c r="B77" s="35" t="s">
        <v>5</v>
      </c>
      <c r="C77" s="267" t="str">
        <f>OUTROS_INSUMOS_DESCRICAO</f>
        <v>Outros Insumos (Materiais duráveis)</v>
      </c>
      <c r="D77" s="233"/>
      <c r="E77" s="233"/>
      <c r="F77" s="37">
        <f>OUTROS_INSUMOS</f>
        <v>40.380000000000003</v>
      </c>
      <c r="L77" s="123"/>
      <c r="M77" s="123"/>
      <c r="N77" s="123"/>
    </row>
    <row r="78" spans="2:14" x14ac:dyDescent="0.4">
      <c r="B78" s="265" t="s">
        <v>40</v>
      </c>
      <c r="C78" s="265"/>
      <c r="D78" s="265"/>
      <c r="E78" s="265"/>
      <c r="F78" s="34">
        <f>SUM(F74:F77)</f>
        <v>1062.57</v>
      </c>
      <c r="L78" s="123"/>
      <c r="M78" s="123"/>
    </row>
    <row r="79" spans="2:14" x14ac:dyDescent="0.4">
      <c r="B79" s="221" t="s">
        <v>65</v>
      </c>
      <c r="C79" s="221"/>
      <c r="D79" s="221"/>
      <c r="E79" s="221"/>
      <c r="F79" s="221"/>
      <c r="L79" s="123"/>
      <c r="M79" s="123"/>
    </row>
    <row r="80" spans="2:14" x14ac:dyDescent="0.4">
      <c r="B80" s="1">
        <v>6</v>
      </c>
      <c r="C80" s="234" t="s">
        <v>21</v>
      </c>
      <c r="D80" s="234"/>
      <c r="E80" s="98" t="s">
        <v>1</v>
      </c>
      <c r="F80" s="98" t="s">
        <v>12</v>
      </c>
      <c r="L80" s="123"/>
      <c r="M80" s="123"/>
    </row>
    <row r="81" spans="2:14" x14ac:dyDescent="0.4">
      <c r="B81" s="1" t="s">
        <v>2</v>
      </c>
      <c r="C81" s="240" t="s">
        <v>67</v>
      </c>
      <c r="D81" s="240"/>
      <c r="E81" s="49">
        <f>PERC_CUSTOS_INDIRETOS</f>
        <v>4.7300000000000004</v>
      </c>
      <c r="F81" s="46">
        <f>PERC_CUSTOS_INDIRETOS%*(MOD_1_REMUNERACAO_SERV+MOD_2_ENCARGOS_BENEFICIOS_SERV+MOD_3_PROVISAO_RESCISAO_SERV+MOD_4_CUSTO_REPOSICAO_SERV+MOD_5_INSUMOS_SERV)</f>
        <v>247.44</v>
      </c>
      <c r="L81" s="123"/>
      <c r="M81" s="123"/>
    </row>
    <row r="82" spans="2:14" x14ac:dyDescent="0.4">
      <c r="B82" s="2" t="s">
        <v>3</v>
      </c>
      <c r="C82" s="242" t="s">
        <v>27</v>
      </c>
      <c r="D82" s="242"/>
      <c r="E82" s="38">
        <f>PERC_LUCRO</f>
        <v>5.57</v>
      </c>
      <c r="F82" s="27">
        <f>PERC_LUCRO%*(MOD_1_REMUNERACAO_SERV+MOD_2_ENCARGOS_BENEFICIOS_SERV+MOD_3_PROVISAO_RESCISAO_SERV+MOD_4_CUSTO_REPOSICAO_SERV+MOD_5_INSUMOS_SERV+AL_6_A_CUSTOS_INDIRETOS_SERV)</f>
        <v>305.17</v>
      </c>
      <c r="L82" s="123"/>
      <c r="M82" s="123"/>
    </row>
    <row r="83" spans="2:14" ht="15" customHeight="1" x14ac:dyDescent="0.4">
      <c r="B83" s="2" t="s">
        <v>4</v>
      </c>
      <c r="C83" s="240" t="s">
        <v>22</v>
      </c>
      <c r="D83" s="240"/>
      <c r="E83" s="49">
        <f>SUM(E84:E86)</f>
        <v>8.65</v>
      </c>
      <c r="F83" s="46">
        <f>SUM(F84:F86)</f>
        <v>547.69000000000005</v>
      </c>
      <c r="L83" s="123"/>
      <c r="M83" s="123"/>
    </row>
    <row r="84" spans="2:14" x14ac:dyDescent="0.4">
      <c r="B84" s="21" t="s">
        <v>68</v>
      </c>
      <c r="C84" s="268" t="s">
        <v>23</v>
      </c>
      <c r="D84" s="268"/>
      <c r="E84" s="22">
        <f>PERC_PIS</f>
        <v>0.65</v>
      </c>
      <c r="F84" s="51">
        <f>((MOD_1_REMUNERACAO_SERV+MOD_2_ENCARGOS_BENEFICIOS_SERV+MOD_3_PROVISAO_RESCISAO_SERV+MOD_4_CUSTO_REPOSICAO_SERV+MOD_5_INSUMOS_SERV+AL_6_A_CUSTOS_INDIRETOS_SERV+AL_6_B_LUCRO_SERV)*PERC_PIS%)/(1-PERC_TRIBUTOS%)</f>
        <v>41.16</v>
      </c>
      <c r="L84" s="123"/>
      <c r="M84" s="123"/>
    </row>
    <row r="85" spans="2:14" x14ac:dyDescent="0.4">
      <c r="B85" s="21" t="s">
        <v>69</v>
      </c>
      <c r="C85" s="269" t="s">
        <v>24</v>
      </c>
      <c r="D85" s="269"/>
      <c r="E85" s="50">
        <f>PERC_COFINS</f>
        <v>3</v>
      </c>
      <c r="F85" s="52">
        <f>((MOD_1_REMUNERACAO_SERV+MOD_2_ENCARGOS_BENEFICIOS_SERV+MOD_3_PROVISAO_RESCISAO_SERV+MOD_4_CUSTO_REPOSICAO_SERV+MOD_5_INSUMOS_SERV+AL_6_A_CUSTOS_INDIRETOS_SERV+AL_6_B_LUCRO_SERV)*PERC_COFINS%)/(1-PERC_TRIBUTOS%)</f>
        <v>189.95</v>
      </c>
      <c r="L85" s="123"/>
      <c r="M85" s="123"/>
    </row>
    <row r="86" spans="2:14" ht="15.75" customHeight="1" x14ac:dyDescent="0.4">
      <c r="B86" s="21" t="s">
        <v>70</v>
      </c>
      <c r="C86" s="268" t="s">
        <v>25</v>
      </c>
      <c r="D86" s="268"/>
      <c r="E86" s="22">
        <f>PERC_ISS</f>
        <v>5</v>
      </c>
      <c r="F86" s="51">
        <f>((MOD_1_REMUNERACAO_SERV+MOD_2_ENCARGOS_BENEFICIOS_SERV+MOD_3_PROVISAO_RESCISAO_SERV+MOD_4_CUSTO_REPOSICAO_SERV+MOD_5_INSUMOS_SERV+AL_6_A_CUSTOS_INDIRETOS_SERV+AL_6_B_LUCRO_SERV)*PERC_ISS%)/(1-PERC_TRIBUTOS%)</f>
        <v>316.58</v>
      </c>
      <c r="L86" s="123"/>
      <c r="M86" s="123"/>
    </row>
    <row r="87" spans="2:14" x14ac:dyDescent="0.4">
      <c r="B87" s="228" t="s">
        <v>40</v>
      </c>
      <c r="C87" s="229"/>
      <c r="D87" s="229"/>
      <c r="E87" s="230"/>
      <c r="F87" s="28">
        <f>AL_6_A_CUSTOS_INDIRETOS_SERV+AL_6_B_LUCRO_SERV+AL_6_C_TRIBUTOS_SERV</f>
        <v>1100.3</v>
      </c>
      <c r="L87" s="123"/>
      <c r="M87" s="123"/>
    </row>
    <row r="88" spans="2:14" ht="15.75" customHeight="1" x14ac:dyDescent="0.4">
      <c r="B88" s="42" t="s">
        <v>46</v>
      </c>
      <c r="C88" s="8"/>
      <c r="D88" s="8"/>
      <c r="E88" s="8"/>
      <c r="F88" s="13"/>
      <c r="L88" s="123"/>
      <c r="M88" s="123"/>
    </row>
    <row r="89" spans="2:14" x14ac:dyDescent="0.4">
      <c r="B89" s="2" t="s">
        <v>80</v>
      </c>
      <c r="C89" s="222" t="s">
        <v>81</v>
      </c>
      <c r="D89" s="223"/>
      <c r="E89" s="224"/>
      <c r="F89" s="98" t="s">
        <v>18</v>
      </c>
      <c r="L89" s="123"/>
      <c r="M89" s="123"/>
    </row>
    <row r="90" spans="2:14" s="116" customFormat="1" x14ac:dyDescent="0.4">
      <c r="B90" s="1">
        <v>1</v>
      </c>
      <c r="C90" s="240" t="s">
        <v>9</v>
      </c>
      <c r="D90" s="240"/>
      <c r="E90" s="240"/>
      <c r="F90" s="46">
        <f>MOD_1_REMUNERACAO_SERV</f>
        <v>1629.62</v>
      </c>
      <c r="H90" s="123"/>
      <c r="I90" s="123"/>
      <c r="J90" s="123"/>
      <c r="K90" s="123"/>
      <c r="L90" s="123"/>
      <c r="M90" s="123"/>
      <c r="N90" s="72"/>
    </row>
    <row r="91" spans="2:14" s="116" customFormat="1" x14ac:dyDescent="0.4">
      <c r="B91" s="2">
        <v>2</v>
      </c>
      <c r="C91" s="242" t="s">
        <v>82</v>
      </c>
      <c r="D91" s="242"/>
      <c r="E91" s="242"/>
      <c r="F91" s="27">
        <f>MOD_2_ENCARGOS_BENEFICIOS_SERV</f>
        <v>2087.19</v>
      </c>
      <c r="H91" s="123"/>
      <c r="I91" s="123"/>
      <c r="J91" s="123"/>
      <c r="K91" s="123"/>
      <c r="L91" s="123"/>
      <c r="M91" s="123"/>
      <c r="N91" s="72"/>
    </row>
    <row r="92" spans="2:14" s="116" customFormat="1" x14ac:dyDescent="0.4">
      <c r="B92" s="2">
        <v>3</v>
      </c>
      <c r="C92" s="240" t="s">
        <v>42</v>
      </c>
      <c r="D92" s="240"/>
      <c r="E92" s="240"/>
      <c r="F92" s="46">
        <f>MOD_3_PROVISAO_RESCISAO_SERV</f>
        <v>47.31</v>
      </c>
      <c r="H92" s="123"/>
      <c r="I92" s="123"/>
      <c r="J92" s="123"/>
      <c r="K92" s="123"/>
      <c r="L92" s="123"/>
      <c r="M92" s="123"/>
      <c r="N92" s="72"/>
    </row>
    <row r="93" spans="2:14" s="117" customFormat="1" ht="16.5" customHeight="1" x14ac:dyDescent="0.4">
      <c r="B93" s="2">
        <v>4</v>
      </c>
      <c r="C93" s="242" t="s">
        <v>45</v>
      </c>
      <c r="D93" s="242"/>
      <c r="E93" s="242"/>
      <c r="F93" s="27">
        <f>MOD_4_CUSTO_REPOSICAO_SERV</f>
        <v>404.64</v>
      </c>
      <c r="H93" s="123"/>
      <c r="I93" s="123"/>
      <c r="J93" s="123"/>
      <c r="K93" s="123"/>
      <c r="L93" s="123"/>
      <c r="M93" s="123"/>
      <c r="N93" s="72"/>
    </row>
    <row r="94" spans="2:14" s="116" customFormat="1" x14ac:dyDescent="0.4">
      <c r="B94" s="2">
        <v>5</v>
      </c>
      <c r="C94" s="240" t="s">
        <v>0</v>
      </c>
      <c r="D94" s="240"/>
      <c r="E94" s="240"/>
      <c r="F94" s="46">
        <f>MOD_5_INSUMOS_SERV</f>
        <v>1062.57</v>
      </c>
      <c r="H94" s="123"/>
      <c r="I94" s="123"/>
      <c r="J94" s="123"/>
      <c r="K94" s="123"/>
      <c r="L94" s="123"/>
      <c r="M94" s="123"/>
      <c r="N94" s="72"/>
    </row>
    <row r="95" spans="2:14" s="118" customFormat="1" ht="16.5" customHeight="1" x14ac:dyDescent="0.4">
      <c r="B95" s="2">
        <v>6</v>
      </c>
      <c r="C95" s="242" t="s">
        <v>21</v>
      </c>
      <c r="D95" s="242"/>
      <c r="E95" s="242"/>
      <c r="F95" s="27">
        <f>MOD_6_CUSTOS_IND_LUCRO_TRIB_SERV</f>
        <v>1100.3</v>
      </c>
      <c r="H95" s="123"/>
      <c r="I95" s="123"/>
      <c r="J95" s="123"/>
      <c r="K95" s="123"/>
      <c r="L95" s="123"/>
      <c r="M95" s="123"/>
      <c r="N95" s="72"/>
    </row>
    <row r="96" spans="2:14" s="118" customFormat="1" x14ac:dyDescent="0.4">
      <c r="B96" s="246" t="s">
        <v>200</v>
      </c>
      <c r="C96" s="246"/>
      <c r="D96" s="246"/>
      <c r="E96" s="246"/>
      <c r="F96" s="28">
        <f>SUM(F90:F95)</f>
        <v>6331.63</v>
      </c>
      <c r="H96" s="123"/>
      <c r="I96" s="123"/>
      <c r="J96" s="123"/>
      <c r="K96" s="123"/>
      <c r="L96" s="123"/>
      <c r="M96" s="123"/>
      <c r="N96" s="72"/>
    </row>
    <row r="97" spans="2:14" s="118" customFormat="1" x14ac:dyDescent="0.4">
      <c r="B97" s="6"/>
      <c r="C97" s="9"/>
      <c r="D97" s="9"/>
      <c r="E97" s="9"/>
      <c r="F97" s="9"/>
      <c r="H97" s="123"/>
      <c r="I97" s="123"/>
      <c r="J97" s="123"/>
      <c r="K97" s="123"/>
      <c r="L97" s="123"/>
      <c r="M97" s="123"/>
      <c r="N97" s="72"/>
    </row>
    <row r="98" spans="2:14" ht="16.5" customHeight="1" x14ac:dyDescent="0.4">
      <c r="L98" s="123"/>
      <c r="M98" s="123"/>
    </row>
    <row r="99" spans="2:14" ht="16.5" customHeight="1" x14ac:dyDescent="0.4">
      <c r="L99" s="123"/>
      <c r="M99" s="123"/>
    </row>
    <row r="100" spans="2:14" x14ac:dyDescent="0.4">
      <c r="L100" s="123"/>
      <c r="M100" s="123"/>
    </row>
    <row r="101" spans="2:14" x14ac:dyDescent="0.4">
      <c r="L101" s="123"/>
      <c r="M101" s="123"/>
    </row>
    <row r="102" spans="2:14" x14ac:dyDescent="0.4">
      <c r="L102" s="123"/>
      <c r="M102" s="123"/>
    </row>
    <row r="103" spans="2:14" x14ac:dyDescent="0.4">
      <c r="L103" s="123"/>
      <c r="M103" s="123"/>
    </row>
    <row r="104" spans="2:14" x14ac:dyDescent="0.4">
      <c r="L104" s="123"/>
      <c r="M104" s="123"/>
    </row>
    <row r="105" spans="2:14" x14ac:dyDescent="0.4">
      <c r="L105" s="123"/>
      <c r="M105" s="123"/>
    </row>
    <row r="106" spans="2:14" x14ac:dyDescent="0.4">
      <c r="L106" s="123"/>
      <c r="M106" s="123"/>
      <c r="N106" s="123"/>
    </row>
    <row r="107" spans="2:14" x14ac:dyDescent="0.4">
      <c r="L107" s="123"/>
      <c r="M107" s="123"/>
      <c r="N107" s="123"/>
    </row>
    <row r="108" spans="2:14" x14ac:dyDescent="0.4">
      <c r="L108" s="123"/>
      <c r="M108" s="123"/>
      <c r="N108" s="123"/>
    </row>
    <row r="109" spans="2:14" x14ac:dyDescent="0.4">
      <c r="L109" s="123"/>
      <c r="M109" s="123"/>
      <c r="N109" s="123"/>
    </row>
    <row r="110" spans="2:14" x14ac:dyDescent="0.4">
      <c r="L110" s="123"/>
      <c r="M110" s="123"/>
      <c r="N110" s="123"/>
    </row>
    <row r="111" spans="2:14" x14ac:dyDescent="0.4">
      <c r="L111" s="123"/>
      <c r="M111" s="123"/>
      <c r="N111" s="123"/>
    </row>
    <row r="112" spans="2:14" x14ac:dyDescent="0.4">
      <c r="L112" s="123"/>
      <c r="M112" s="123"/>
      <c r="N112" s="123"/>
    </row>
    <row r="113" spans="8:14" x14ac:dyDescent="0.4">
      <c r="H113" s="129"/>
      <c r="I113" s="129"/>
      <c r="J113" s="129"/>
      <c r="K113" s="129"/>
      <c r="L113" s="129"/>
      <c r="M113" s="129"/>
      <c r="N113" s="129"/>
    </row>
    <row r="114" spans="8:14" x14ac:dyDescent="0.4">
      <c r="H114" s="129"/>
      <c r="I114" s="129"/>
      <c r="J114" s="129"/>
      <c r="K114" s="129"/>
      <c r="L114" s="129"/>
      <c r="M114" s="129"/>
      <c r="N114" s="129"/>
    </row>
    <row r="115" spans="8:14" x14ac:dyDescent="0.4">
      <c r="H115" s="129"/>
      <c r="I115" s="129"/>
      <c r="J115" s="129"/>
      <c r="K115" s="129"/>
      <c r="L115" s="129"/>
      <c r="M115" s="129"/>
      <c r="N115" s="129"/>
    </row>
    <row r="116" spans="8:14" x14ac:dyDescent="0.4">
      <c r="H116" s="129"/>
      <c r="I116" s="129"/>
      <c r="J116" s="129"/>
      <c r="K116" s="129"/>
      <c r="L116" s="129"/>
      <c r="M116" s="129"/>
      <c r="N116" s="129"/>
    </row>
    <row r="117" spans="8:14" x14ac:dyDescent="0.4">
      <c r="H117" s="129"/>
      <c r="I117" s="129"/>
      <c r="J117" s="129"/>
      <c r="K117" s="129"/>
      <c r="L117" s="129"/>
      <c r="M117" s="129"/>
      <c r="N117" s="129"/>
    </row>
    <row r="118" spans="8:14" x14ac:dyDescent="0.4">
      <c r="H118" s="130"/>
      <c r="I118" s="130"/>
      <c r="J118" s="130"/>
      <c r="K118" s="130"/>
      <c r="L118" s="130"/>
      <c r="M118" s="130"/>
      <c r="N118" s="130"/>
    </row>
    <row r="119" spans="8:14" x14ac:dyDescent="0.4">
      <c r="H119" s="129"/>
      <c r="I119" s="129"/>
      <c r="J119" s="129"/>
      <c r="K119" s="129"/>
      <c r="L119" s="129"/>
      <c r="M119" s="129"/>
      <c r="N119" s="129"/>
    </row>
    <row r="120" spans="8:14" x14ac:dyDescent="0.4">
      <c r="H120" s="131"/>
      <c r="I120" s="131"/>
      <c r="J120" s="131"/>
      <c r="K120" s="131"/>
      <c r="L120" s="131"/>
      <c r="M120" s="131"/>
      <c r="N120" s="131"/>
    </row>
    <row r="121" spans="8:14" x14ac:dyDescent="0.4">
      <c r="H121" s="131"/>
      <c r="I121" s="131"/>
      <c r="J121" s="131"/>
      <c r="K121" s="131"/>
      <c r="L121" s="131"/>
      <c r="M121" s="131"/>
      <c r="N121" s="131"/>
    </row>
    <row r="122" spans="8:14" x14ac:dyDescent="0.4">
      <c r="H122" s="131"/>
      <c r="I122" s="131"/>
      <c r="J122" s="131"/>
      <c r="K122" s="131"/>
      <c r="L122" s="131"/>
      <c r="M122" s="131"/>
      <c r="N122" s="131"/>
    </row>
    <row r="123" spans="8:14" x14ac:dyDescent="0.4">
      <c r="H123" s="131"/>
      <c r="I123" s="131"/>
      <c r="J123" s="131"/>
      <c r="K123" s="131"/>
      <c r="L123" s="131"/>
      <c r="M123" s="131"/>
      <c r="N123" s="131"/>
    </row>
    <row r="124" spans="8:14" x14ac:dyDescent="0.4">
      <c r="H124" s="131"/>
      <c r="I124" s="131"/>
      <c r="J124" s="131"/>
      <c r="K124" s="131"/>
      <c r="L124" s="131"/>
      <c r="M124" s="131"/>
      <c r="N124" s="131"/>
    </row>
    <row r="125" spans="8:14" x14ac:dyDescent="0.4">
      <c r="L125" s="123"/>
      <c r="M125" s="123"/>
      <c r="N125" s="123"/>
    </row>
    <row r="126" spans="8:14" x14ac:dyDescent="0.4">
      <c r="L126" s="123"/>
      <c r="M126" s="123"/>
      <c r="N126" s="123"/>
    </row>
    <row r="127" spans="8:14" x14ac:dyDescent="0.4">
      <c r="L127" s="123"/>
      <c r="M127" s="123"/>
      <c r="N127" s="123"/>
    </row>
    <row r="128" spans="8:14" x14ac:dyDescent="0.4">
      <c r="L128" s="123"/>
      <c r="M128" s="123"/>
      <c r="N128" s="123"/>
    </row>
    <row r="129" spans="8:14" x14ac:dyDescent="0.4">
      <c r="L129" s="123"/>
      <c r="M129" s="123"/>
      <c r="N129" s="123"/>
    </row>
    <row r="130" spans="8:14" x14ac:dyDescent="0.4">
      <c r="L130" s="123"/>
      <c r="M130" s="123"/>
      <c r="N130" s="123"/>
    </row>
    <row r="131" spans="8:14" x14ac:dyDescent="0.4">
      <c r="L131" s="123"/>
      <c r="M131" s="123"/>
      <c r="N131" s="123"/>
    </row>
    <row r="141" spans="8:14" x14ac:dyDescent="0.4">
      <c r="H141" s="72"/>
      <c r="I141" s="72"/>
      <c r="J141" s="72"/>
      <c r="K141" s="72"/>
    </row>
    <row r="142" spans="8:14" x14ac:dyDescent="0.4">
      <c r="H142" s="72"/>
      <c r="I142" s="72"/>
      <c r="J142" s="72"/>
      <c r="K142" s="72"/>
    </row>
    <row r="143" spans="8:14" x14ac:dyDescent="0.4">
      <c r="H143" s="72"/>
      <c r="I143" s="72"/>
      <c r="J143" s="72"/>
      <c r="K143" s="72"/>
    </row>
    <row r="144" spans="8:14" x14ac:dyDescent="0.4">
      <c r="H144" s="72"/>
      <c r="I144" s="72"/>
      <c r="J144" s="72"/>
      <c r="K144" s="72"/>
    </row>
    <row r="145" spans="8:11" x14ac:dyDescent="0.4">
      <c r="H145" s="72"/>
      <c r="I145" s="72"/>
      <c r="J145" s="72"/>
      <c r="K145" s="72"/>
    </row>
    <row r="146" spans="8:11" x14ac:dyDescent="0.4">
      <c r="H146" s="72"/>
      <c r="I146" s="72"/>
      <c r="J146" s="72"/>
      <c r="K146" s="72"/>
    </row>
    <row r="147" spans="8:11" x14ac:dyDescent="0.4">
      <c r="H147" s="72"/>
      <c r="I147" s="72"/>
      <c r="J147" s="72"/>
      <c r="K147" s="72"/>
    </row>
    <row r="148" spans="8:11" x14ac:dyDescent="0.4">
      <c r="H148" s="72"/>
      <c r="I148" s="72"/>
      <c r="J148" s="72"/>
      <c r="K148" s="72"/>
    </row>
    <row r="149" spans="8:11" x14ac:dyDescent="0.4">
      <c r="H149" s="72"/>
      <c r="I149" s="72"/>
      <c r="J149" s="72"/>
      <c r="K149" s="72"/>
    </row>
    <row r="150" spans="8:11" x14ac:dyDescent="0.4">
      <c r="H150" s="72"/>
      <c r="I150" s="72"/>
      <c r="J150" s="72"/>
      <c r="K150" s="72"/>
    </row>
  </sheetData>
  <sheetProtection sheet="1" objects="1" scenarios="1"/>
  <mergeCells count="88">
    <mergeCell ref="C8:E8"/>
    <mergeCell ref="D9:F9"/>
    <mergeCell ref="B6:C6"/>
    <mergeCell ref="D6:E6"/>
    <mergeCell ref="B7:F7"/>
    <mergeCell ref="B1:F1"/>
    <mergeCell ref="B2:D2"/>
    <mergeCell ref="B3:F3"/>
    <mergeCell ref="B4:F4"/>
    <mergeCell ref="B5:C5"/>
    <mergeCell ref="D5:F5"/>
    <mergeCell ref="C25:E25"/>
    <mergeCell ref="C22:E22"/>
    <mergeCell ref="D16:F16"/>
    <mergeCell ref="C17:E17"/>
    <mergeCell ref="B18:F18"/>
    <mergeCell ref="C20:E20"/>
    <mergeCell ref="C21:E21"/>
    <mergeCell ref="C23:E23"/>
    <mergeCell ref="C24:E24"/>
    <mergeCell ref="D15:F15"/>
    <mergeCell ref="C10:E10"/>
    <mergeCell ref="C11:E11"/>
    <mergeCell ref="C12:E12"/>
    <mergeCell ref="C14:D14"/>
    <mergeCell ref="E14:F14"/>
    <mergeCell ref="C39:D39"/>
    <mergeCell ref="B26:E26"/>
    <mergeCell ref="C29:D29"/>
    <mergeCell ref="C30:D30"/>
    <mergeCell ref="C31:D31"/>
    <mergeCell ref="B32:E32"/>
    <mergeCell ref="B33:F33"/>
    <mergeCell ref="C34:D34"/>
    <mergeCell ref="C35:D35"/>
    <mergeCell ref="C36:D36"/>
    <mergeCell ref="C37:D37"/>
    <mergeCell ref="C38:D38"/>
    <mergeCell ref="C53:D53"/>
    <mergeCell ref="C40:D40"/>
    <mergeCell ref="C41:D41"/>
    <mergeCell ref="C42:D42"/>
    <mergeCell ref="B43:E43"/>
    <mergeCell ref="C45:E45"/>
    <mergeCell ref="C46:E46"/>
    <mergeCell ref="C47:E47"/>
    <mergeCell ref="C48:E48"/>
    <mergeCell ref="C49:E49"/>
    <mergeCell ref="C50:E50"/>
    <mergeCell ref="B51:E51"/>
    <mergeCell ref="C64:D64"/>
    <mergeCell ref="C54:D54"/>
    <mergeCell ref="C55:D55"/>
    <mergeCell ref="C56:D56"/>
    <mergeCell ref="B57:E57"/>
    <mergeCell ref="C60:D60"/>
    <mergeCell ref="C61:D61"/>
    <mergeCell ref="C62:D62"/>
    <mergeCell ref="C63:D63"/>
    <mergeCell ref="B78:E78"/>
    <mergeCell ref="C65:D65"/>
    <mergeCell ref="C66:D66"/>
    <mergeCell ref="B67:E67"/>
    <mergeCell ref="C69:E69"/>
    <mergeCell ref="C70:E70"/>
    <mergeCell ref="B71:E71"/>
    <mergeCell ref="C73:E73"/>
    <mergeCell ref="C74:E74"/>
    <mergeCell ref="C75:E75"/>
    <mergeCell ref="C76:E76"/>
    <mergeCell ref="C77:E77"/>
    <mergeCell ref="C91:E91"/>
    <mergeCell ref="B79:F79"/>
    <mergeCell ref="C80:D80"/>
    <mergeCell ref="C81:D81"/>
    <mergeCell ref="C82:D82"/>
    <mergeCell ref="C83:D83"/>
    <mergeCell ref="C84:D84"/>
    <mergeCell ref="C85:D85"/>
    <mergeCell ref="C86:D86"/>
    <mergeCell ref="B87:E87"/>
    <mergeCell ref="C89:E89"/>
    <mergeCell ref="C90:E90"/>
    <mergeCell ref="C92:E92"/>
    <mergeCell ref="C93:E93"/>
    <mergeCell ref="C94:E94"/>
    <mergeCell ref="C95:E95"/>
    <mergeCell ref="B96:E96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5 B4:F4 C3:F3 C17:F17 B12 C16 E16:F16 B2:E2 D12:E12 B10:F11 B9:C9 B7:F8 D5:F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R31" sqref="R31"/>
    </sheetView>
  </sheetViews>
  <sheetFormatPr defaultColWidth="9.109375" defaultRowHeight="16.8" x14ac:dyDescent="0.4"/>
  <cols>
    <col min="1" max="1" width="9.109375" style="84"/>
    <col min="2" max="2" width="13.5546875" style="84" customWidth="1"/>
    <col min="3" max="10" width="9.6640625" style="84" customWidth="1"/>
    <col min="11" max="16384" width="9.109375" style="84"/>
  </cols>
  <sheetData>
    <row r="1" spans="1:14" ht="19.2" x14ac:dyDescent="0.4">
      <c r="A1" s="90" t="s">
        <v>193</v>
      </c>
      <c r="B1" s="90"/>
      <c r="C1" s="90"/>
      <c r="D1" s="90"/>
      <c r="E1" s="90"/>
      <c r="F1" s="90"/>
      <c r="G1" s="90"/>
      <c r="H1" s="85"/>
      <c r="J1" s="145" t="s">
        <v>254</v>
      </c>
    </row>
    <row r="2" spans="1:14" ht="28.5" customHeight="1" x14ac:dyDescent="0.4">
      <c r="A2" s="280" t="s">
        <v>155</v>
      </c>
      <c r="B2" s="283" t="s">
        <v>156</v>
      </c>
      <c r="C2" s="276" t="s">
        <v>213</v>
      </c>
      <c r="D2" s="277"/>
      <c r="E2" s="276" t="s">
        <v>189</v>
      </c>
      <c r="F2" s="277"/>
      <c r="G2" s="276" t="s">
        <v>190</v>
      </c>
      <c r="H2" s="277"/>
      <c r="I2" s="276" t="s">
        <v>191</v>
      </c>
      <c r="J2" s="277"/>
    </row>
    <row r="3" spans="1:14" ht="12" customHeight="1" x14ac:dyDescent="0.4">
      <c r="A3" s="281"/>
      <c r="B3" s="284"/>
      <c r="C3" s="99">
        <v>600</v>
      </c>
      <c r="D3" s="100" t="s">
        <v>212</v>
      </c>
      <c r="E3" s="99">
        <v>1200</v>
      </c>
      <c r="F3" s="100" t="s">
        <v>212</v>
      </c>
      <c r="G3" s="99">
        <v>220</v>
      </c>
      <c r="H3" s="100" t="s">
        <v>212</v>
      </c>
      <c r="I3" s="99">
        <v>110</v>
      </c>
      <c r="J3" s="100" t="s">
        <v>212</v>
      </c>
    </row>
    <row r="4" spans="1:14" ht="33.75" customHeight="1" x14ac:dyDescent="0.4">
      <c r="A4" s="282"/>
      <c r="B4" s="285"/>
      <c r="C4" s="86" t="s">
        <v>157</v>
      </c>
      <c r="D4" s="86" t="s">
        <v>158</v>
      </c>
      <c r="E4" s="86" t="s">
        <v>157</v>
      </c>
      <c r="F4" s="86" t="s">
        <v>158</v>
      </c>
      <c r="G4" s="86" t="s">
        <v>157</v>
      </c>
      <c r="H4" s="86" t="s">
        <v>158</v>
      </c>
      <c r="I4" s="86" t="s">
        <v>157</v>
      </c>
      <c r="J4" s="86" t="s">
        <v>158</v>
      </c>
    </row>
    <row r="5" spans="1:14" x14ac:dyDescent="0.4">
      <c r="A5" s="1" t="s">
        <v>159</v>
      </c>
      <c r="B5" s="87">
        <v>42979</v>
      </c>
      <c r="C5" s="88">
        <v>4.76</v>
      </c>
      <c r="D5" s="88">
        <v>5.73</v>
      </c>
      <c r="E5" s="88">
        <v>2.38</v>
      </c>
      <c r="F5" s="88">
        <v>2.86</v>
      </c>
      <c r="G5" s="88">
        <v>1.1000000000000001</v>
      </c>
      <c r="H5" s="88">
        <v>1.32</v>
      </c>
      <c r="I5" s="88">
        <v>0.24</v>
      </c>
      <c r="J5" s="88">
        <v>0.28999999999999998</v>
      </c>
    </row>
    <row r="6" spans="1:14" x14ac:dyDescent="0.4">
      <c r="A6" s="1" t="s">
        <v>160</v>
      </c>
      <c r="B6" s="87">
        <v>43805</v>
      </c>
      <c r="C6" s="89">
        <v>5.18</v>
      </c>
      <c r="D6" s="89">
        <v>6.23</v>
      </c>
      <c r="E6" s="89">
        <v>2.59</v>
      </c>
      <c r="F6" s="89">
        <v>3.12</v>
      </c>
      <c r="G6" s="89">
        <v>1.2</v>
      </c>
      <c r="H6" s="89">
        <v>1.44</v>
      </c>
      <c r="I6" s="89">
        <v>0.25</v>
      </c>
      <c r="J6" s="89">
        <v>0.3</v>
      </c>
      <c r="N6" s="151"/>
    </row>
    <row r="7" spans="1:14" x14ac:dyDescent="0.4">
      <c r="A7" s="1" t="s">
        <v>161</v>
      </c>
      <c r="B7" s="87">
        <v>43643</v>
      </c>
      <c r="C7" s="88">
        <v>3.87</v>
      </c>
      <c r="D7" s="88">
        <v>4.66</v>
      </c>
      <c r="E7" s="88">
        <v>2.58</v>
      </c>
      <c r="F7" s="88">
        <v>3.11</v>
      </c>
      <c r="G7" s="88">
        <v>1.72</v>
      </c>
      <c r="H7" s="88">
        <v>2.0699999999999998</v>
      </c>
      <c r="I7" s="88">
        <v>1.1499999999999999</v>
      </c>
      <c r="J7" s="88">
        <v>1.38</v>
      </c>
      <c r="N7" s="150"/>
    </row>
    <row r="8" spans="1:14" x14ac:dyDescent="0.4">
      <c r="A8" s="1" t="s">
        <v>162</v>
      </c>
      <c r="B8" s="87">
        <v>43349</v>
      </c>
      <c r="C8" s="89">
        <v>4.9800000000000004</v>
      </c>
      <c r="D8" s="89">
        <v>5.99</v>
      </c>
      <c r="E8" s="89">
        <v>2.4900000000000002</v>
      </c>
      <c r="F8" s="89">
        <v>3</v>
      </c>
      <c r="G8" s="89">
        <v>1.1499999999999999</v>
      </c>
      <c r="H8" s="89">
        <v>1.39</v>
      </c>
      <c r="I8" s="89">
        <v>0.24</v>
      </c>
      <c r="J8" s="89">
        <v>0.28999999999999998</v>
      </c>
      <c r="N8" s="151"/>
    </row>
    <row r="9" spans="1:14" x14ac:dyDescent="0.4">
      <c r="A9" s="1" t="s">
        <v>163</v>
      </c>
      <c r="B9" s="87">
        <v>42899</v>
      </c>
      <c r="C9" s="88">
        <v>4.6500000000000004</v>
      </c>
      <c r="D9" s="88">
        <v>5.63</v>
      </c>
      <c r="E9" s="88">
        <v>2.3199999999999998</v>
      </c>
      <c r="F9" s="88">
        <v>2.81</v>
      </c>
      <c r="G9" s="88">
        <v>1.07</v>
      </c>
      <c r="H9" s="88">
        <v>1.3</v>
      </c>
      <c r="I9" s="88">
        <v>0.22</v>
      </c>
      <c r="J9" s="88">
        <v>0.27</v>
      </c>
      <c r="N9" s="150"/>
    </row>
    <row r="10" spans="1:14" x14ac:dyDescent="0.4">
      <c r="A10" s="1" t="s">
        <v>164</v>
      </c>
      <c r="B10" s="87">
        <v>43690</v>
      </c>
      <c r="C10" s="89">
        <v>5.71</v>
      </c>
      <c r="D10" s="89">
        <v>6.87</v>
      </c>
      <c r="E10" s="89">
        <v>2.85</v>
      </c>
      <c r="F10" s="89">
        <v>3.44</v>
      </c>
      <c r="G10" s="89">
        <v>1.32</v>
      </c>
      <c r="H10" s="89">
        <v>1.59</v>
      </c>
      <c r="I10" s="89">
        <v>0.27</v>
      </c>
      <c r="J10" s="89">
        <v>0.32</v>
      </c>
      <c r="N10" s="151"/>
    </row>
    <row r="11" spans="1:14" x14ac:dyDescent="0.4">
      <c r="A11" s="1" t="s">
        <v>165</v>
      </c>
      <c r="B11" s="87">
        <v>43593</v>
      </c>
      <c r="C11" s="88">
        <v>5.6</v>
      </c>
      <c r="D11" s="88">
        <v>6.73</v>
      </c>
      <c r="E11" s="88">
        <v>3.73</v>
      </c>
      <c r="F11" s="88">
        <v>4.4800000000000004</v>
      </c>
      <c r="G11" s="88">
        <v>2.4900000000000002</v>
      </c>
      <c r="H11" s="88">
        <v>2.99</v>
      </c>
      <c r="I11" s="88">
        <v>1.66</v>
      </c>
      <c r="J11" s="88">
        <v>1.99</v>
      </c>
      <c r="N11" s="155"/>
    </row>
    <row r="12" spans="1:14" x14ac:dyDescent="0.4">
      <c r="A12" s="1" t="s">
        <v>166</v>
      </c>
      <c r="B12" s="87">
        <v>43234</v>
      </c>
      <c r="C12" s="89">
        <v>6.06</v>
      </c>
      <c r="D12" s="89">
        <v>7.3</v>
      </c>
      <c r="E12" s="89">
        <v>3.03</v>
      </c>
      <c r="F12" s="89">
        <v>3.65</v>
      </c>
      <c r="G12" s="89">
        <v>1.4</v>
      </c>
      <c r="H12" s="89">
        <v>1.69</v>
      </c>
      <c r="I12" s="89">
        <v>0.28000000000000003</v>
      </c>
      <c r="J12" s="89">
        <v>0.34</v>
      </c>
      <c r="N12" s="154"/>
    </row>
    <row r="13" spans="1:14" x14ac:dyDescent="0.4">
      <c r="A13" s="1" t="s">
        <v>167</v>
      </c>
      <c r="B13" s="87">
        <v>43690</v>
      </c>
      <c r="C13" s="88">
        <v>5.26</v>
      </c>
      <c r="D13" s="88">
        <v>6.33</v>
      </c>
      <c r="E13" s="88">
        <v>2.63</v>
      </c>
      <c r="F13" s="88">
        <v>3.17</v>
      </c>
      <c r="G13" s="88">
        <v>1.22</v>
      </c>
      <c r="H13" s="88">
        <v>1.46</v>
      </c>
      <c r="I13" s="88">
        <v>0.41</v>
      </c>
      <c r="J13" s="88">
        <v>0.49</v>
      </c>
      <c r="N13" s="155"/>
    </row>
    <row r="14" spans="1:14" x14ac:dyDescent="0.4">
      <c r="A14" s="1" t="s">
        <v>168</v>
      </c>
      <c r="B14" s="87">
        <v>43349</v>
      </c>
      <c r="C14" s="89">
        <v>5.25</v>
      </c>
      <c r="D14" s="89">
        <v>6.32</v>
      </c>
      <c r="E14" s="89">
        <v>2.63</v>
      </c>
      <c r="F14" s="89">
        <v>3.16</v>
      </c>
      <c r="G14" s="89">
        <v>1.21</v>
      </c>
      <c r="H14" s="89">
        <v>1.46</v>
      </c>
      <c r="I14" s="89">
        <v>0.25</v>
      </c>
      <c r="J14" s="89">
        <v>0.3</v>
      </c>
      <c r="N14" s="154"/>
    </row>
    <row r="15" spans="1:14" x14ac:dyDescent="0.4">
      <c r="A15" s="1" t="s">
        <v>169</v>
      </c>
      <c r="B15" s="87">
        <v>43643</v>
      </c>
      <c r="C15" s="88">
        <v>5.85</v>
      </c>
      <c r="D15" s="88">
        <v>7.04</v>
      </c>
      <c r="E15" s="88">
        <v>2.92</v>
      </c>
      <c r="F15" s="88">
        <v>3.52</v>
      </c>
      <c r="G15" s="88">
        <v>1.35</v>
      </c>
      <c r="H15" s="88">
        <v>1.63</v>
      </c>
      <c r="I15" s="88">
        <v>0.3</v>
      </c>
      <c r="J15" s="88">
        <v>0.36</v>
      </c>
      <c r="N15" s="155"/>
    </row>
    <row r="16" spans="1:14" x14ac:dyDescent="0.4">
      <c r="A16" s="1" t="s">
        <v>170</v>
      </c>
      <c r="B16" s="87">
        <v>43643</v>
      </c>
      <c r="C16" s="89">
        <v>4.92</v>
      </c>
      <c r="D16" s="89">
        <v>5.92</v>
      </c>
      <c r="E16" s="89">
        <v>2.46</v>
      </c>
      <c r="F16" s="89">
        <v>2.96</v>
      </c>
      <c r="G16" s="89">
        <v>1.1399999999999999</v>
      </c>
      <c r="H16" s="89">
        <v>1.37</v>
      </c>
      <c r="I16" s="89">
        <v>0.24</v>
      </c>
      <c r="J16" s="89">
        <v>0.28999999999999998</v>
      </c>
      <c r="N16" s="154"/>
    </row>
    <row r="17" spans="1:15" x14ac:dyDescent="0.4">
      <c r="A17" s="1" t="s">
        <v>171</v>
      </c>
      <c r="B17" s="87">
        <v>43805</v>
      </c>
      <c r="C17" s="88">
        <v>5.82</v>
      </c>
      <c r="D17" s="88">
        <v>7.01</v>
      </c>
      <c r="E17" s="88">
        <v>2.91</v>
      </c>
      <c r="F17" s="88">
        <v>3.5</v>
      </c>
      <c r="G17" s="88">
        <v>1.34</v>
      </c>
      <c r="H17" s="88">
        <v>1.62</v>
      </c>
      <c r="I17" s="88">
        <v>0.31</v>
      </c>
      <c r="J17" s="88">
        <v>0.37</v>
      </c>
      <c r="N17" s="155"/>
      <c r="O17" s="151"/>
    </row>
    <row r="18" spans="1:15" x14ac:dyDescent="0.4">
      <c r="A18" s="1" t="s">
        <v>172</v>
      </c>
      <c r="B18" s="87">
        <v>43690</v>
      </c>
      <c r="C18" s="89">
        <v>5.59</v>
      </c>
      <c r="D18" s="89">
        <v>6.72</v>
      </c>
      <c r="E18" s="89">
        <v>2.79</v>
      </c>
      <c r="F18" s="89">
        <v>3.36</v>
      </c>
      <c r="G18" s="89">
        <v>1.29</v>
      </c>
      <c r="H18" s="89">
        <v>1.55</v>
      </c>
      <c r="I18" s="89">
        <v>0.27</v>
      </c>
      <c r="J18" s="89">
        <v>0.33</v>
      </c>
      <c r="N18" s="154"/>
      <c r="O18" s="150"/>
    </row>
    <row r="19" spans="1:15" x14ac:dyDescent="0.4">
      <c r="A19" s="1" t="s">
        <v>173</v>
      </c>
      <c r="B19" s="87">
        <v>43761</v>
      </c>
      <c r="C19" s="88">
        <v>4.9800000000000004</v>
      </c>
      <c r="D19" s="88">
        <v>6</v>
      </c>
      <c r="E19" s="88">
        <v>2.4900000000000002</v>
      </c>
      <c r="F19" s="88">
        <v>3</v>
      </c>
      <c r="G19" s="88">
        <v>1.1499999999999999</v>
      </c>
      <c r="H19" s="88">
        <v>1.39</v>
      </c>
      <c r="I19" s="88">
        <v>0.24</v>
      </c>
      <c r="J19" s="88">
        <v>0.28999999999999998</v>
      </c>
      <c r="O19" s="151"/>
    </row>
    <row r="20" spans="1:15" x14ac:dyDescent="0.4">
      <c r="A20" s="1" t="s">
        <v>174</v>
      </c>
      <c r="B20" s="87">
        <v>43287</v>
      </c>
      <c r="C20" s="89">
        <v>4.93</v>
      </c>
      <c r="D20" s="89">
        <v>5.94</v>
      </c>
      <c r="E20" s="89">
        <v>2.4700000000000002</v>
      </c>
      <c r="F20" s="89">
        <v>2.97</v>
      </c>
      <c r="G20" s="89">
        <v>1.1399999999999999</v>
      </c>
      <c r="H20" s="89">
        <v>1.37</v>
      </c>
      <c r="I20" s="89">
        <v>0.24</v>
      </c>
      <c r="J20" s="89">
        <v>0.28000000000000003</v>
      </c>
      <c r="O20" s="150"/>
    </row>
    <row r="21" spans="1:15" x14ac:dyDescent="0.4">
      <c r="A21" s="1" t="s">
        <v>175</v>
      </c>
      <c r="B21" s="87">
        <v>43805</v>
      </c>
      <c r="C21" s="88">
        <v>5.23</v>
      </c>
      <c r="D21" s="88">
        <v>6.29</v>
      </c>
      <c r="E21" s="88">
        <v>2.61</v>
      </c>
      <c r="F21" s="88">
        <v>3.15</v>
      </c>
      <c r="G21" s="88">
        <v>1.21</v>
      </c>
      <c r="H21" s="88">
        <v>1.46</v>
      </c>
      <c r="I21" s="88">
        <v>0.28000000000000003</v>
      </c>
      <c r="J21" s="88">
        <v>0.34</v>
      </c>
      <c r="O21" s="151"/>
    </row>
    <row r="22" spans="1:15" x14ac:dyDescent="0.4">
      <c r="A22" s="1" t="s">
        <v>176</v>
      </c>
      <c r="B22" s="87">
        <v>43234</v>
      </c>
      <c r="C22" s="89">
        <v>5.81</v>
      </c>
      <c r="D22" s="89">
        <v>7</v>
      </c>
      <c r="E22" s="89">
        <v>2.91</v>
      </c>
      <c r="F22" s="89">
        <v>3.5</v>
      </c>
      <c r="G22" s="89">
        <v>1.34</v>
      </c>
      <c r="H22" s="89">
        <v>1.62</v>
      </c>
      <c r="I22" s="89">
        <v>0.28000000000000003</v>
      </c>
      <c r="J22" s="89">
        <v>0.33</v>
      </c>
      <c r="O22" s="150"/>
    </row>
    <row r="23" spans="1:15" x14ac:dyDescent="0.4">
      <c r="A23" s="1" t="s">
        <v>177</v>
      </c>
      <c r="B23" s="87">
        <v>43336</v>
      </c>
      <c r="C23" s="88">
        <v>5.95</v>
      </c>
      <c r="D23" s="88">
        <v>7.16</v>
      </c>
      <c r="E23" s="88">
        <v>2.97</v>
      </c>
      <c r="F23" s="88">
        <v>3.58</v>
      </c>
      <c r="G23" s="88">
        <v>1.37</v>
      </c>
      <c r="H23" s="88">
        <v>1.66</v>
      </c>
      <c r="I23" s="88">
        <v>0.34</v>
      </c>
      <c r="J23" s="88">
        <v>0.28000000000000003</v>
      </c>
      <c r="O23" s="151"/>
    </row>
    <row r="24" spans="1:15" x14ac:dyDescent="0.4">
      <c r="A24" s="1" t="s">
        <v>178</v>
      </c>
      <c r="B24" s="87">
        <v>43349</v>
      </c>
      <c r="C24" s="89">
        <v>4.63</v>
      </c>
      <c r="D24" s="89">
        <v>5.57</v>
      </c>
      <c r="E24" s="89">
        <v>2.31</v>
      </c>
      <c r="F24" s="89">
        <v>2.79</v>
      </c>
      <c r="G24" s="89">
        <v>1.07</v>
      </c>
      <c r="H24" s="89">
        <v>1.29</v>
      </c>
      <c r="I24" s="89">
        <v>0.22</v>
      </c>
      <c r="J24" s="89">
        <v>0.26</v>
      </c>
      <c r="O24" s="150"/>
    </row>
    <row r="25" spans="1:15" x14ac:dyDescent="0.4">
      <c r="A25" s="1" t="s">
        <v>179</v>
      </c>
      <c r="B25" s="87">
        <v>43336</v>
      </c>
      <c r="C25" s="88">
        <v>5.59</v>
      </c>
      <c r="D25" s="88">
        <v>6.73</v>
      </c>
      <c r="E25" s="88">
        <v>2.79</v>
      </c>
      <c r="F25" s="88">
        <v>3.36</v>
      </c>
      <c r="G25" s="88">
        <v>1.29</v>
      </c>
      <c r="H25" s="88">
        <v>1.55</v>
      </c>
      <c r="I25" s="88">
        <v>0.3</v>
      </c>
      <c r="J25" s="88">
        <v>0.36</v>
      </c>
    </row>
    <row r="26" spans="1:15" x14ac:dyDescent="0.4">
      <c r="A26" s="1" t="s">
        <v>180</v>
      </c>
      <c r="B26" s="87">
        <v>42989</v>
      </c>
      <c r="C26" s="89">
        <v>5.45</v>
      </c>
      <c r="D26" s="89">
        <v>6.6</v>
      </c>
      <c r="E26" s="89">
        <v>2.72</v>
      </c>
      <c r="F26" s="89">
        <v>3.3</v>
      </c>
      <c r="G26" s="89">
        <v>1.26</v>
      </c>
      <c r="H26" s="89">
        <v>1.53</v>
      </c>
      <c r="I26" s="89">
        <v>0.31</v>
      </c>
      <c r="J26" s="89">
        <v>0.38</v>
      </c>
    </row>
    <row r="27" spans="1:15" x14ac:dyDescent="0.4">
      <c r="A27" s="1" t="s">
        <v>181</v>
      </c>
      <c r="B27" s="87">
        <v>43643</v>
      </c>
      <c r="C27" s="88">
        <v>6.28</v>
      </c>
      <c r="D27" s="88">
        <v>7.56</v>
      </c>
      <c r="E27" s="88">
        <v>3.14</v>
      </c>
      <c r="F27" s="88">
        <v>3.78</v>
      </c>
      <c r="G27" s="88">
        <v>1.45</v>
      </c>
      <c r="H27" s="88">
        <v>1.75</v>
      </c>
      <c r="I27" s="88">
        <v>0.3</v>
      </c>
      <c r="J27" s="88">
        <v>0.36</v>
      </c>
    </row>
    <row r="28" spans="1:15" x14ac:dyDescent="0.4">
      <c r="A28" s="1" t="s">
        <v>182</v>
      </c>
      <c r="B28" s="87">
        <v>43690</v>
      </c>
      <c r="C28" s="89">
        <v>6.61</v>
      </c>
      <c r="D28" s="89">
        <v>7.96</v>
      </c>
      <c r="E28" s="89">
        <v>3.3</v>
      </c>
      <c r="F28" s="89">
        <v>3.98</v>
      </c>
      <c r="G28" s="89">
        <v>1.53</v>
      </c>
      <c r="H28" s="89">
        <v>1.84</v>
      </c>
      <c r="I28" s="89">
        <v>0.32</v>
      </c>
      <c r="J28" s="89">
        <v>0.39</v>
      </c>
    </row>
    <row r="29" spans="1:15" x14ac:dyDescent="0.4">
      <c r="A29" s="1" t="s">
        <v>183</v>
      </c>
      <c r="B29" s="87">
        <v>43761</v>
      </c>
      <c r="C29" s="88">
        <v>4.92</v>
      </c>
      <c r="D29" s="88">
        <v>5.93</v>
      </c>
      <c r="E29" s="88">
        <v>2.46</v>
      </c>
      <c r="F29" s="88">
        <v>2.96</v>
      </c>
      <c r="G29" s="88">
        <v>1.1399999999999999</v>
      </c>
      <c r="H29" s="88">
        <v>1.37</v>
      </c>
      <c r="I29" s="88">
        <v>0.23</v>
      </c>
      <c r="J29" s="88">
        <v>0.28000000000000003</v>
      </c>
    </row>
    <row r="30" spans="1:15" x14ac:dyDescent="0.4">
      <c r="A30" s="1" t="s">
        <v>184</v>
      </c>
      <c r="B30" s="87">
        <v>43761</v>
      </c>
      <c r="C30" s="89">
        <v>5.98</v>
      </c>
      <c r="D30" s="89">
        <v>7.2</v>
      </c>
      <c r="E30" s="89">
        <v>2.99</v>
      </c>
      <c r="F30" s="89">
        <v>3.6</v>
      </c>
      <c r="G30" s="89">
        <v>1.38</v>
      </c>
      <c r="H30" s="89">
        <v>1.67</v>
      </c>
      <c r="I30" s="89">
        <v>0.36</v>
      </c>
      <c r="J30" s="89">
        <v>0.43</v>
      </c>
    </row>
    <row r="31" spans="1:15" x14ac:dyDescent="0.4">
      <c r="A31" s="1" t="s">
        <v>185</v>
      </c>
      <c r="B31" s="87">
        <v>43761</v>
      </c>
      <c r="C31" s="88">
        <v>5.75</v>
      </c>
      <c r="D31" s="88">
        <v>6.92</v>
      </c>
      <c r="E31" s="88">
        <v>2.88</v>
      </c>
      <c r="F31" s="88">
        <v>3.46</v>
      </c>
      <c r="G31" s="88">
        <v>1.33</v>
      </c>
      <c r="H31" s="88">
        <v>1.6</v>
      </c>
      <c r="I31" s="88">
        <v>0.43</v>
      </c>
      <c r="J31" s="88">
        <v>0.52</v>
      </c>
    </row>
    <row r="32" spans="1:15" x14ac:dyDescent="0.4">
      <c r="A32" s="286" t="s">
        <v>186</v>
      </c>
      <c r="B32" s="287"/>
      <c r="C32" s="79">
        <f>AVERAGE(C5:C31)</f>
        <v>5.39</v>
      </c>
      <c r="D32" s="79">
        <f t="shared" ref="D32:H32" si="0">AVERAGE(D5:D31)</f>
        <v>6.49</v>
      </c>
      <c r="E32" s="79">
        <f t="shared" si="0"/>
        <v>2.75</v>
      </c>
      <c r="F32" s="79">
        <f t="shared" si="0"/>
        <v>3.32</v>
      </c>
      <c r="G32" s="79">
        <f t="shared" si="0"/>
        <v>1.32</v>
      </c>
      <c r="H32" s="79">
        <f t="shared" si="0"/>
        <v>1.59</v>
      </c>
      <c r="I32" s="79">
        <f t="shared" ref="I32:J32" si="1">AVERAGE(I5:I31)</f>
        <v>0.37</v>
      </c>
      <c r="J32" s="79">
        <f t="shared" si="1"/>
        <v>0.44</v>
      </c>
    </row>
    <row r="33" spans="1:10" x14ac:dyDescent="0.4">
      <c r="A33" s="278" t="s">
        <v>187</v>
      </c>
      <c r="B33" s="279"/>
      <c r="C33" s="79">
        <f>SMALL(C5:C31,27)</f>
        <v>6.61</v>
      </c>
      <c r="D33" s="79">
        <f t="shared" ref="D33:H33" si="2">SMALL(D5:D31,27)</f>
        <v>7.96</v>
      </c>
      <c r="E33" s="79">
        <f t="shared" si="2"/>
        <v>3.73</v>
      </c>
      <c r="F33" s="79">
        <f t="shared" si="2"/>
        <v>4.4800000000000004</v>
      </c>
      <c r="G33" s="79">
        <f t="shared" si="2"/>
        <v>2.4900000000000002</v>
      </c>
      <c r="H33" s="79">
        <f t="shared" si="2"/>
        <v>2.99</v>
      </c>
      <c r="I33" s="79">
        <f t="shared" ref="I33:J33" si="3">SMALL(I5:I31,27)</f>
        <v>1.66</v>
      </c>
      <c r="J33" s="79">
        <f t="shared" si="3"/>
        <v>1.99</v>
      </c>
    </row>
    <row r="34" spans="1:10" x14ac:dyDescent="0.4">
      <c r="A34" s="278" t="s">
        <v>188</v>
      </c>
      <c r="B34" s="279"/>
      <c r="C34" s="79">
        <f>LARGE(C6:C32,27)</f>
        <v>3.87</v>
      </c>
      <c r="D34" s="79">
        <f t="shared" ref="D34:H34" si="4">LARGE(D6:D32,27)</f>
        <v>4.66</v>
      </c>
      <c r="E34" s="79">
        <f t="shared" si="4"/>
        <v>2.31</v>
      </c>
      <c r="F34" s="79">
        <f t="shared" si="4"/>
        <v>2.79</v>
      </c>
      <c r="G34" s="79">
        <f t="shared" si="4"/>
        <v>1.07</v>
      </c>
      <c r="H34" s="79">
        <f t="shared" si="4"/>
        <v>1.29</v>
      </c>
      <c r="I34" s="79">
        <f t="shared" ref="I34:J34" si="5">LARGE(I6:I32,27)</f>
        <v>0.22</v>
      </c>
      <c r="J34" s="79">
        <f t="shared" si="5"/>
        <v>0.26</v>
      </c>
    </row>
  </sheetData>
  <sheetProtection sheet="1" objects="1" scenarios="1"/>
  <mergeCells count="9">
    <mergeCell ref="I2:J2"/>
    <mergeCell ref="A33:B33"/>
    <mergeCell ref="A34:B34"/>
    <mergeCell ref="A2:A4"/>
    <mergeCell ref="B2:B4"/>
    <mergeCell ref="A32:B32"/>
    <mergeCell ref="C2:D2"/>
    <mergeCell ref="E2:F2"/>
    <mergeCell ref="G2:H2"/>
  </mergeCells>
  <printOptions horizontalCentered="1" verticalCentered="1"/>
  <pageMargins left="0.15748031496062992" right="0.15748031496062992" top="0.17" bottom="0.17" header="0.17" footer="0.17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Normal="10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activeCell="AA16" sqref="AA16"/>
    </sheetView>
  </sheetViews>
  <sheetFormatPr defaultColWidth="9.109375" defaultRowHeight="16.8" x14ac:dyDescent="0.4"/>
  <cols>
    <col min="1" max="1" width="4.44140625" style="84" customWidth="1"/>
    <col min="2" max="2" width="10.44140625" style="84" customWidth="1"/>
    <col min="3" max="3" width="7.44140625" style="84" bestFit="1" customWidth="1"/>
    <col min="4" max="10" width="7" style="84" customWidth="1"/>
    <col min="11" max="11" width="7.44140625" style="84" bestFit="1" customWidth="1"/>
    <col min="12" max="18" width="7" style="84" customWidth="1"/>
    <col min="19" max="16384" width="9.109375" style="84"/>
  </cols>
  <sheetData>
    <row r="1" spans="1:21" ht="19.2" x14ac:dyDescent="0.4">
      <c r="A1" s="90" t="s">
        <v>192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85"/>
      <c r="M1" s="85"/>
      <c r="N1" s="85"/>
      <c r="Q1" s="85"/>
      <c r="R1" s="145" t="s">
        <v>254</v>
      </c>
    </row>
    <row r="2" spans="1:21" ht="16.5" customHeight="1" x14ac:dyDescent="0.4">
      <c r="A2" s="280" t="s">
        <v>155</v>
      </c>
      <c r="B2" s="283" t="s">
        <v>156</v>
      </c>
      <c r="C2" s="276" t="s">
        <v>214</v>
      </c>
      <c r="D2" s="289"/>
      <c r="E2" s="289"/>
      <c r="F2" s="290"/>
      <c r="G2" s="288" t="s">
        <v>215</v>
      </c>
      <c r="H2" s="289"/>
      <c r="I2" s="289"/>
      <c r="J2" s="290"/>
      <c r="K2" s="288" t="s">
        <v>216</v>
      </c>
      <c r="L2" s="289"/>
      <c r="M2" s="289"/>
      <c r="N2" s="290"/>
      <c r="O2" s="288" t="s">
        <v>217</v>
      </c>
      <c r="P2" s="289"/>
      <c r="Q2" s="289"/>
      <c r="R2" s="289"/>
    </row>
    <row r="3" spans="1:21" ht="6.75" customHeight="1" x14ac:dyDescent="0.4">
      <c r="A3" s="281"/>
      <c r="B3" s="284"/>
      <c r="C3" s="294"/>
      <c r="D3" s="295"/>
      <c r="E3" s="295"/>
      <c r="F3" s="296"/>
      <c r="G3" s="291"/>
      <c r="H3" s="292"/>
      <c r="I3" s="292"/>
      <c r="J3" s="293"/>
      <c r="K3" s="291"/>
      <c r="L3" s="292"/>
      <c r="M3" s="292"/>
      <c r="N3" s="293"/>
      <c r="O3" s="291"/>
      <c r="P3" s="292"/>
      <c r="Q3" s="292"/>
      <c r="R3" s="292"/>
    </row>
    <row r="4" spans="1:21" ht="16.5" customHeight="1" x14ac:dyDescent="0.4">
      <c r="A4" s="281"/>
      <c r="B4" s="284"/>
      <c r="C4" s="101">
        <v>800</v>
      </c>
      <c r="D4" s="103" t="s">
        <v>218</v>
      </c>
      <c r="E4" s="101">
        <v>1200</v>
      </c>
      <c r="F4" s="102" t="s">
        <v>218</v>
      </c>
      <c r="G4" s="101">
        <v>1800</v>
      </c>
      <c r="H4" s="103" t="s">
        <v>218</v>
      </c>
      <c r="I4" s="101">
        <v>2700</v>
      </c>
      <c r="J4" s="102" t="s">
        <v>218</v>
      </c>
      <c r="K4" s="101">
        <v>300</v>
      </c>
      <c r="L4" s="103" t="s">
        <v>218</v>
      </c>
      <c r="M4" s="101">
        <v>380</v>
      </c>
      <c r="N4" s="102" t="s">
        <v>218</v>
      </c>
      <c r="O4" s="101">
        <v>130</v>
      </c>
      <c r="P4" s="103" t="s">
        <v>218</v>
      </c>
      <c r="Q4" s="101">
        <v>160</v>
      </c>
      <c r="R4" s="102" t="s">
        <v>218</v>
      </c>
    </row>
    <row r="5" spans="1:21" x14ac:dyDescent="0.4">
      <c r="A5" s="282"/>
      <c r="B5" s="285"/>
      <c r="C5" s="86" t="s">
        <v>209</v>
      </c>
      <c r="D5" s="86" t="s">
        <v>210</v>
      </c>
      <c r="E5" s="86" t="s">
        <v>209</v>
      </c>
      <c r="F5" s="86" t="s">
        <v>210</v>
      </c>
      <c r="G5" s="86" t="s">
        <v>209</v>
      </c>
      <c r="H5" s="86" t="s">
        <v>210</v>
      </c>
      <c r="I5" s="86" t="s">
        <v>209</v>
      </c>
      <c r="J5" s="86" t="s">
        <v>210</v>
      </c>
      <c r="K5" s="86" t="s">
        <v>209</v>
      </c>
      <c r="L5" s="86" t="s">
        <v>210</v>
      </c>
      <c r="M5" s="86" t="s">
        <v>209</v>
      </c>
      <c r="N5" s="86" t="s">
        <v>210</v>
      </c>
      <c r="O5" s="86" t="s">
        <v>209</v>
      </c>
      <c r="P5" s="86" t="s">
        <v>210</v>
      </c>
      <c r="Q5" s="86" t="s">
        <v>209</v>
      </c>
      <c r="R5" s="86" t="s">
        <v>210</v>
      </c>
    </row>
    <row r="6" spans="1:21" x14ac:dyDescent="0.4">
      <c r="A6" s="1" t="s">
        <v>159</v>
      </c>
      <c r="B6" s="97">
        <v>43349</v>
      </c>
      <c r="C6" s="88">
        <v>3.57</v>
      </c>
      <c r="D6" s="88">
        <v>4.3</v>
      </c>
      <c r="E6" s="88">
        <v>2.38</v>
      </c>
      <c r="F6" s="88">
        <v>2.86</v>
      </c>
      <c r="G6" s="88">
        <v>1.59</v>
      </c>
      <c r="H6" s="88">
        <v>1.98</v>
      </c>
      <c r="I6" s="88">
        <v>1.06</v>
      </c>
      <c r="J6" s="88">
        <v>1.27</v>
      </c>
      <c r="K6" s="88">
        <v>0.81</v>
      </c>
      <c r="L6" s="88">
        <v>0.97</v>
      </c>
      <c r="M6" s="88">
        <v>0.64</v>
      </c>
      <c r="N6" s="88">
        <v>0.77</v>
      </c>
      <c r="O6" s="88">
        <v>0.2</v>
      </c>
      <c r="P6" s="88">
        <v>0.24</v>
      </c>
      <c r="Q6" s="88">
        <v>0.17</v>
      </c>
      <c r="R6" s="88">
        <v>0.2</v>
      </c>
    </row>
    <row r="7" spans="1:21" x14ac:dyDescent="0.4">
      <c r="A7" s="1" t="s">
        <v>160</v>
      </c>
      <c r="B7" s="97">
        <v>43805</v>
      </c>
      <c r="C7" s="89">
        <v>3.88</v>
      </c>
      <c r="D7" s="89">
        <v>4.67</v>
      </c>
      <c r="E7" s="89">
        <v>2.59</v>
      </c>
      <c r="F7" s="89">
        <v>3.12</v>
      </c>
      <c r="G7" s="89">
        <v>1.73</v>
      </c>
      <c r="H7" s="89">
        <v>2.08</v>
      </c>
      <c r="I7" s="89">
        <v>1.1499999999999999</v>
      </c>
      <c r="J7" s="89">
        <v>1.38</v>
      </c>
      <c r="K7" s="89">
        <v>0.88</v>
      </c>
      <c r="L7" s="89">
        <v>1.06</v>
      </c>
      <c r="M7" s="89">
        <v>0.69</v>
      </c>
      <c r="N7" s="89">
        <v>0.83</v>
      </c>
      <c r="O7" s="89">
        <v>0.21</v>
      </c>
      <c r="P7" s="89">
        <v>0.25</v>
      </c>
      <c r="Q7" s="89">
        <v>0.17</v>
      </c>
      <c r="R7" s="89">
        <v>0.21</v>
      </c>
    </row>
    <row r="8" spans="1:21" x14ac:dyDescent="0.4">
      <c r="A8" s="1" t="s">
        <v>161</v>
      </c>
      <c r="B8" s="97">
        <v>43643</v>
      </c>
      <c r="C8" s="88">
        <v>3.87</v>
      </c>
      <c r="D8" s="88">
        <v>4.66</v>
      </c>
      <c r="E8" s="88">
        <v>2.58</v>
      </c>
      <c r="F8" s="88">
        <v>3.11</v>
      </c>
      <c r="G8" s="88">
        <v>1.72</v>
      </c>
      <c r="H8" s="88">
        <v>2.0699999999999998</v>
      </c>
      <c r="I8" s="88">
        <v>1.1499999999999999</v>
      </c>
      <c r="J8" s="88">
        <v>1.38</v>
      </c>
      <c r="K8" s="88">
        <v>0.88</v>
      </c>
      <c r="L8" s="88">
        <v>1.05</v>
      </c>
      <c r="M8" s="88">
        <v>0.69</v>
      </c>
      <c r="N8" s="88">
        <v>0.83</v>
      </c>
      <c r="O8" s="88">
        <v>0.26</v>
      </c>
      <c r="P8" s="88">
        <v>0.31</v>
      </c>
      <c r="Q8" s="88">
        <v>0.21</v>
      </c>
      <c r="R8" s="88">
        <v>0.26</v>
      </c>
    </row>
    <row r="9" spans="1:21" x14ac:dyDescent="0.4">
      <c r="A9" s="1" t="s">
        <v>162</v>
      </c>
      <c r="B9" s="97">
        <v>43349</v>
      </c>
      <c r="C9" s="89">
        <v>3.73</v>
      </c>
      <c r="D9" s="89">
        <v>4.5</v>
      </c>
      <c r="E9" s="89">
        <v>2.4900000000000002</v>
      </c>
      <c r="F9" s="89">
        <v>3</v>
      </c>
      <c r="G9" s="89">
        <v>1.66</v>
      </c>
      <c r="H9" s="89">
        <v>2</v>
      </c>
      <c r="I9" s="89">
        <v>1.1100000000000001</v>
      </c>
      <c r="J9" s="89">
        <v>1.33</v>
      </c>
      <c r="K9" s="89">
        <v>0.84</v>
      </c>
      <c r="L9" s="89">
        <v>1.02</v>
      </c>
      <c r="M9" s="89">
        <v>0.67</v>
      </c>
      <c r="N9" s="89">
        <v>0.8</v>
      </c>
      <c r="O9" s="89">
        <v>0.2</v>
      </c>
      <c r="P9" s="89">
        <v>0.24</v>
      </c>
      <c r="Q9" s="89">
        <v>0.17</v>
      </c>
      <c r="R9" s="89">
        <v>0.2</v>
      </c>
      <c r="U9" s="151"/>
    </row>
    <row r="10" spans="1:21" x14ac:dyDescent="0.4">
      <c r="A10" s="1" t="s">
        <v>163</v>
      </c>
      <c r="B10" s="97">
        <v>43013</v>
      </c>
      <c r="C10" s="88">
        <v>3.49</v>
      </c>
      <c r="D10" s="88">
        <v>4.22</v>
      </c>
      <c r="E10" s="88">
        <v>2.3199999999999998</v>
      </c>
      <c r="F10" s="88">
        <v>2.81</v>
      </c>
      <c r="G10" s="88">
        <v>1.55</v>
      </c>
      <c r="H10" s="88">
        <v>1.88</v>
      </c>
      <c r="I10" s="88">
        <v>1.03</v>
      </c>
      <c r="J10" s="88">
        <v>1.25</v>
      </c>
      <c r="K10" s="88">
        <v>0.79</v>
      </c>
      <c r="L10" s="88">
        <v>0.95</v>
      </c>
      <c r="M10" s="88">
        <v>0.62</v>
      </c>
      <c r="N10" s="88">
        <v>0.75</v>
      </c>
      <c r="O10" s="88">
        <v>0.19</v>
      </c>
      <c r="P10" s="88">
        <v>0.23</v>
      </c>
      <c r="Q10" s="88">
        <v>0.15</v>
      </c>
      <c r="R10" s="88">
        <v>0.18</v>
      </c>
      <c r="U10" s="150"/>
    </row>
    <row r="11" spans="1:21" x14ac:dyDescent="0.4">
      <c r="A11" s="1" t="s">
        <v>164</v>
      </c>
      <c r="B11" s="97">
        <v>43690</v>
      </c>
      <c r="C11" s="89">
        <v>4.28</v>
      </c>
      <c r="D11" s="89">
        <v>5.15</v>
      </c>
      <c r="E11" s="89">
        <v>2.85</v>
      </c>
      <c r="F11" s="89">
        <v>3.44</v>
      </c>
      <c r="G11" s="89">
        <v>1.9</v>
      </c>
      <c r="H11" s="89">
        <v>2.29</v>
      </c>
      <c r="I11" s="89">
        <v>1.27</v>
      </c>
      <c r="J11" s="89">
        <v>1.53</v>
      </c>
      <c r="K11" s="89">
        <v>0.97</v>
      </c>
      <c r="L11" s="89">
        <v>1.1599999999999999</v>
      </c>
      <c r="M11" s="89">
        <v>0.76</v>
      </c>
      <c r="N11" s="89">
        <v>0.92</v>
      </c>
      <c r="O11" s="89">
        <v>0.23</v>
      </c>
      <c r="P11" s="89">
        <v>0.27</v>
      </c>
      <c r="Q11" s="89">
        <v>0.18</v>
      </c>
      <c r="R11" s="89">
        <v>0.22</v>
      </c>
      <c r="U11" s="151"/>
    </row>
    <row r="12" spans="1:21" x14ac:dyDescent="0.4">
      <c r="A12" s="1" t="s">
        <v>165</v>
      </c>
      <c r="B12" s="97">
        <v>43593</v>
      </c>
      <c r="C12" s="88">
        <v>5.6</v>
      </c>
      <c r="D12" s="88">
        <v>6.73</v>
      </c>
      <c r="E12" s="88">
        <v>3.73</v>
      </c>
      <c r="F12" s="88">
        <v>4.4800000000000004</v>
      </c>
      <c r="G12" s="88">
        <v>2.4900000000000002</v>
      </c>
      <c r="H12" s="88">
        <v>2.99</v>
      </c>
      <c r="I12" s="88">
        <v>1.66</v>
      </c>
      <c r="J12" s="88">
        <v>1.99</v>
      </c>
      <c r="K12" s="88">
        <v>1.26</v>
      </c>
      <c r="L12" s="88">
        <v>1.52</v>
      </c>
      <c r="M12" s="88">
        <v>1</v>
      </c>
      <c r="N12" s="88">
        <v>1.2</v>
      </c>
      <c r="O12" s="88">
        <v>0.4</v>
      </c>
      <c r="P12" s="88">
        <v>0.48</v>
      </c>
      <c r="Q12" s="88">
        <v>0.33</v>
      </c>
      <c r="R12" s="88">
        <v>0.39</v>
      </c>
      <c r="U12" s="150"/>
    </row>
    <row r="13" spans="1:21" x14ac:dyDescent="0.4">
      <c r="A13" s="1" t="s">
        <v>166</v>
      </c>
      <c r="B13" s="97">
        <v>43234</v>
      </c>
      <c r="C13" s="89">
        <v>4.55</v>
      </c>
      <c r="D13" s="89">
        <v>5.48</v>
      </c>
      <c r="E13" s="89">
        <v>3.03</v>
      </c>
      <c r="F13" s="89">
        <v>3.65</v>
      </c>
      <c r="G13" s="89">
        <v>2.02</v>
      </c>
      <c r="H13" s="89">
        <v>2.4300000000000002</v>
      </c>
      <c r="I13" s="89">
        <v>1.35</v>
      </c>
      <c r="J13" s="89">
        <v>1.62</v>
      </c>
      <c r="K13" s="89">
        <v>1.03</v>
      </c>
      <c r="L13" s="89">
        <v>1.24</v>
      </c>
      <c r="M13" s="89">
        <v>0.81</v>
      </c>
      <c r="N13" s="89">
        <v>0.98</v>
      </c>
      <c r="O13" s="89">
        <v>0.24</v>
      </c>
      <c r="P13" s="89">
        <v>0.28999999999999998</v>
      </c>
      <c r="Q13" s="89">
        <v>0.19</v>
      </c>
      <c r="R13" s="89">
        <v>0.23</v>
      </c>
      <c r="U13" s="151"/>
    </row>
    <row r="14" spans="1:21" x14ac:dyDescent="0.4">
      <c r="A14" s="1" t="s">
        <v>167</v>
      </c>
      <c r="B14" s="97">
        <v>43690</v>
      </c>
      <c r="C14" s="88">
        <v>3.94</v>
      </c>
      <c r="D14" s="88">
        <v>4.75</v>
      </c>
      <c r="E14" s="88">
        <v>2.63</v>
      </c>
      <c r="F14" s="88">
        <v>3.17</v>
      </c>
      <c r="G14" s="88">
        <v>1.75</v>
      </c>
      <c r="H14" s="88">
        <v>2.11</v>
      </c>
      <c r="I14" s="88">
        <v>1.17</v>
      </c>
      <c r="J14" s="88">
        <v>1.41</v>
      </c>
      <c r="K14" s="88">
        <v>0.89</v>
      </c>
      <c r="L14" s="88">
        <v>1.07</v>
      </c>
      <c r="M14" s="88">
        <v>0.7</v>
      </c>
      <c r="N14" s="88">
        <v>0.85</v>
      </c>
      <c r="O14" s="88">
        <v>0.34</v>
      </c>
      <c r="P14" s="88">
        <v>0.41</v>
      </c>
      <c r="Q14" s="88">
        <v>0.28000000000000003</v>
      </c>
      <c r="R14" s="88">
        <v>0.33</v>
      </c>
      <c r="U14" s="150"/>
    </row>
    <row r="15" spans="1:21" x14ac:dyDescent="0.4">
      <c r="A15" s="1" t="s">
        <v>168</v>
      </c>
      <c r="B15" s="97">
        <v>43349</v>
      </c>
      <c r="C15" s="89">
        <v>3.94</v>
      </c>
      <c r="D15" s="89">
        <v>4.74</v>
      </c>
      <c r="E15" s="89">
        <v>2.63</v>
      </c>
      <c r="F15" s="89">
        <v>3.16</v>
      </c>
      <c r="G15" s="89">
        <v>1.75</v>
      </c>
      <c r="H15" s="89">
        <v>2.11</v>
      </c>
      <c r="I15" s="89">
        <v>1.17</v>
      </c>
      <c r="J15" s="89">
        <v>1.4</v>
      </c>
      <c r="K15" s="89">
        <v>0.89</v>
      </c>
      <c r="L15" s="89">
        <v>1.07</v>
      </c>
      <c r="M15" s="89">
        <v>0.7</v>
      </c>
      <c r="N15" s="89">
        <v>0.85</v>
      </c>
      <c r="O15" s="89">
        <v>0.21</v>
      </c>
      <c r="P15" s="89">
        <v>0.25</v>
      </c>
      <c r="Q15" s="89">
        <v>0.17</v>
      </c>
      <c r="R15" s="89">
        <v>0.21</v>
      </c>
      <c r="U15" s="151"/>
    </row>
    <row r="16" spans="1:21" x14ac:dyDescent="0.4">
      <c r="A16" s="1" t="s">
        <v>169</v>
      </c>
      <c r="B16" s="97">
        <v>43643</v>
      </c>
      <c r="C16" s="88">
        <v>4.38</v>
      </c>
      <c r="D16" s="88">
        <v>5.28</v>
      </c>
      <c r="E16" s="88">
        <v>2.92</v>
      </c>
      <c r="F16" s="88">
        <v>3.52</v>
      </c>
      <c r="G16" s="88">
        <v>1.95</v>
      </c>
      <c r="H16" s="88">
        <v>2.35</v>
      </c>
      <c r="I16" s="88">
        <v>1.3</v>
      </c>
      <c r="J16" s="88">
        <v>1.56</v>
      </c>
      <c r="K16" s="88">
        <v>0.99</v>
      </c>
      <c r="L16" s="88">
        <v>1.19</v>
      </c>
      <c r="M16" s="88">
        <v>0.78</v>
      </c>
      <c r="N16" s="88">
        <v>0.94</v>
      </c>
      <c r="O16" s="88">
        <v>0.25</v>
      </c>
      <c r="P16" s="88">
        <v>0.3</v>
      </c>
      <c r="Q16" s="88">
        <v>0.21</v>
      </c>
      <c r="R16" s="88">
        <v>0.25</v>
      </c>
      <c r="U16" s="150"/>
    </row>
    <row r="17" spans="1:33" x14ac:dyDescent="0.4">
      <c r="A17" s="1" t="s">
        <v>170</v>
      </c>
      <c r="B17" s="97">
        <v>43735</v>
      </c>
      <c r="C17" s="89">
        <v>3.69</v>
      </c>
      <c r="D17" s="89">
        <v>4.4400000000000004</v>
      </c>
      <c r="E17" s="89">
        <v>2.46</v>
      </c>
      <c r="F17" s="89">
        <v>2.96</v>
      </c>
      <c r="G17" s="89">
        <v>1.64</v>
      </c>
      <c r="H17" s="89">
        <v>1.97</v>
      </c>
      <c r="I17" s="89">
        <v>1.0900000000000001</v>
      </c>
      <c r="J17" s="89">
        <v>1.32</v>
      </c>
      <c r="K17" s="89">
        <v>0.83</v>
      </c>
      <c r="L17" s="89">
        <v>1</v>
      </c>
      <c r="M17" s="89">
        <v>0.66</v>
      </c>
      <c r="N17" s="89">
        <v>0.79</v>
      </c>
      <c r="O17" s="89">
        <v>0.21</v>
      </c>
      <c r="P17" s="89">
        <v>0.25</v>
      </c>
      <c r="Q17" s="89">
        <v>0.17</v>
      </c>
      <c r="R17" s="89">
        <v>0.2</v>
      </c>
    </row>
    <row r="18" spans="1:33" x14ac:dyDescent="0.4">
      <c r="A18" s="1" t="s">
        <v>171</v>
      </c>
      <c r="B18" s="97">
        <v>43805</v>
      </c>
      <c r="C18" s="88">
        <v>4.3600000000000003</v>
      </c>
      <c r="D18" s="88">
        <v>5.25</v>
      </c>
      <c r="E18" s="88">
        <v>2.91</v>
      </c>
      <c r="F18" s="88">
        <v>3.5</v>
      </c>
      <c r="G18" s="88">
        <v>1.94</v>
      </c>
      <c r="H18" s="88">
        <v>2.34</v>
      </c>
      <c r="I18" s="88">
        <v>1.29</v>
      </c>
      <c r="J18" s="88">
        <v>1.56</v>
      </c>
      <c r="K18" s="88">
        <v>0.99</v>
      </c>
      <c r="L18" s="88">
        <v>1.19</v>
      </c>
      <c r="M18" s="88">
        <v>0.78</v>
      </c>
      <c r="N18" s="88">
        <v>0.94</v>
      </c>
      <c r="O18" s="88">
        <v>0.26</v>
      </c>
      <c r="P18" s="88">
        <v>0.31</v>
      </c>
      <c r="Q18" s="88">
        <v>0.21</v>
      </c>
      <c r="R18" s="88">
        <v>0.25</v>
      </c>
    </row>
    <row r="19" spans="1:33" x14ac:dyDescent="0.4">
      <c r="A19" s="1" t="s">
        <v>172</v>
      </c>
      <c r="B19" s="97">
        <v>43690</v>
      </c>
      <c r="C19" s="89">
        <v>4.1900000000000004</v>
      </c>
      <c r="D19" s="89">
        <v>5.04</v>
      </c>
      <c r="E19" s="89">
        <v>2.79</v>
      </c>
      <c r="F19" s="89">
        <v>3.36</v>
      </c>
      <c r="G19" s="89">
        <v>1.86</v>
      </c>
      <c r="H19" s="89">
        <v>2.2400000000000002</v>
      </c>
      <c r="I19" s="89">
        <v>1.24</v>
      </c>
      <c r="J19" s="89">
        <v>1.49</v>
      </c>
      <c r="K19" s="89">
        <v>0.95</v>
      </c>
      <c r="L19" s="89">
        <v>1.1399999999999999</v>
      </c>
      <c r="M19" s="89">
        <v>0.75</v>
      </c>
      <c r="N19" s="89">
        <v>0.9</v>
      </c>
      <c r="O19" s="89">
        <v>0.23</v>
      </c>
      <c r="P19" s="89">
        <v>0.28000000000000003</v>
      </c>
      <c r="Q19" s="89">
        <v>0.19</v>
      </c>
      <c r="R19" s="89">
        <v>0.22</v>
      </c>
    </row>
    <row r="20" spans="1:33" x14ac:dyDescent="0.4">
      <c r="A20" s="1" t="s">
        <v>173</v>
      </c>
      <c r="B20" s="97">
        <v>43761</v>
      </c>
      <c r="C20" s="88">
        <v>3.74</v>
      </c>
      <c r="D20" s="88">
        <v>4.5</v>
      </c>
      <c r="E20" s="88">
        <v>2.4900000000000002</v>
      </c>
      <c r="F20" s="88">
        <v>3</v>
      </c>
      <c r="G20" s="88">
        <v>1.66</v>
      </c>
      <c r="H20" s="88">
        <v>2</v>
      </c>
      <c r="I20" s="88">
        <v>1.1100000000000001</v>
      </c>
      <c r="J20" s="88">
        <v>1.33</v>
      </c>
      <c r="K20" s="88">
        <v>0.84</v>
      </c>
      <c r="L20" s="88">
        <v>1.02</v>
      </c>
      <c r="M20" s="88">
        <v>0.67</v>
      </c>
      <c r="N20" s="88">
        <v>0.8</v>
      </c>
      <c r="O20" s="88">
        <v>0.2</v>
      </c>
      <c r="P20" s="88">
        <v>0.24</v>
      </c>
      <c r="Q20" s="88">
        <v>0.17</v>
      </c>
      <c r="R20" s="88">
        <v>0.2</v>
      </c>
    </row>
    <row r="21" spans="1:33" x14ac:dyDescent="0.4">
      <c r="A21" s="1" t="s">
        <v>174</v>
      </c>
      <c r="B21" s="97">
        <v>43287</v>
      </c>
      <c r="C21" s="89">
        <v>3.7</v>
      </c>
      <c r="D21" s="89">
        <v>4.45</v>
      </c>
      <c r="E21" s="89">
        <v>2.4700000000000002</v>
      </c>
      <c r="F21" s="89">
        <v>2.97</v>
      </c>
      <c r="G21" s="89">
        <v>1.64</v>
      </c>
      <c r="H21" s="89">
        <v>1.98</v>
      </c>
      <c r="I21" s="89">
        <v>1.1000000000000001</v>
      </c>
      <c r="J21" s="89">
        <v>1.32</v>
      </c>
      <c r="K21" s="89">
        <v>0.84</v>
      </c>
      <c r="L21" s="89">
        <v>1.01</v>
      </c>
      <c r="M21" s="89">
        <v>0.66</v>
      </c>
      <c r="N21" s="89">
        <v>0.79</v>
      </c>
      <c r="O21" s="89">
        <v>0.2</v>
      </c>
      <c r="P21" s="89">
        <v>0.24</v>
      </c>
      <c r="Q21" s="89">
        <v>0.16</v>
      </c>
      <c r="R21" s="89">
        <v>0.2</v>
      </c>
    </row>
    <row r="22" spans="1:33" x14ac:dyDescent="0.4">
      <c r="A22" s="1" t="s">
        <v>175</v>
      </c>
      <c r="B22" s="97">
        <v>43805</v>
      </c>
      <c r="C22" s="88">
        <v>3.92</v>
      </c>
      <c r="D22" s="88">
        <v>4.72</v>
      </c>
      <c r="E22" s="88">
        <v>2.61</v>
      </c>
      <c r="F22" s="88">
        <v>3.15</v>
      </c>
      <c r="G22" s="88">
        <v>1.74</v>
      </c>
      <c r="H22" s="88">
        <v>2.1</v>
      </c>
      <c r="I22" s="88">
        <v>1.1599999999999999</v>
      </c>
      <c r="J22" s="88">
        <v>1.4</v>
      </c>
      <c r="K22" s="88">
        <v>0.89</v>
      </c>
      <c r="L22" s="88">
        <v>1.07</v>
      </c>
      <c r="M22" s="88">
        <v>0.7</v>
      </c>
      <c r="N22" s="88">
        <v>0.84</v>
      </c>
      <c r="O22" s="88">
        <v>0.24</v>
      </c>
      <c r="P22" s="88">
        <v>0.28000000000000003</v>
      </c>
      <c r="Q22" s="88">
        <v>0.19</v>
      </c>
      <c r="R22" s="88">
        <v>0.23</v>
      </c>
    </row>
    <row r="23" spans="1:33" x14ac:dyDescent="0.4">
      <c r="A23" s="1" t="s">
        <v>176</v>
      </c>
      <c r="B23" s="97">
        <v>43234</v>
      </c>
      <c r="C23" s="89">
        <v>4.3600000000000003</v>
      </c>
      <c r="D23" s="89">
        <v>5.25</v>
      </c>
      <c r="E23" s="89">
        <v>2.91</v>
      </c>
      <c r="F23" s="89">
        <v>3.5</v>
      </c>
      <c r="G23" s="89">
        <v>1.94</v>
      </c>
      <c r="H23" s="89">
        <v>2.33</v>
      </c>
      <c r="I23" s="89">
        <v>1.29</v>
      </c>
      <c r="J23" s="89">
        <v>1.56</v>
      </c>
      <c r="K23" s="89">
        <v>0.99</v>
      </c>
      <c r="L23" s="89">
        <v>1.19</v>
      </c>
      <c r="M23" s="89">
        <v>0.78</v>
      </c>
      <c r="N23" s="89">
        <v>0.94</v>
      </c>
      <c r="O23" s="89">
        <v>0.24</v>
      </c>
      <c r="P23" s="89">
        <v>0.28000000000000003</v>
      </c>
      <c r="Q23" s="89">
        <v>0.19</v>
      </c>
      <c r="R23" s="89">
        <v>0.23</v>
      </c>
    </row>
    <row r="24" spans="1:33" ht="17.399999999999999" thickBot="1" x14ac:dyDescent="0.45">
      <c r="A24" s="1" t="s">
        <v>177</v>
      </c>
      <c r="B24" s="97">
        <v>43336</v>
      </c>
      <c r="C24" s="88">
        <v>4.46</v>
      </c>
      <c r="D24" s="88">
        <v>5.37</v>
      </c>
      <c r="E24" s="88">
        <v>2.97</v>
      </c>
      <c r="F24" s="88">
        <v>3.58</v>
      </c>
      <c r="G24" s="88">
        <v>1.98</v>
      </c>
      <c r="H24" s="88">
        <v>2.39</v>
      </c>
      <c r="I24" s="88">
        <v>1.32</v>
      </c>
      <c r="J24" s="88">
        <v>1.59</v>
      </c>
      <c r="K24" s="88">
        <v>1.01</v>
      </c>
      <c r="L24" s="88">
        <v>1.21</v>
      </c>
      <c r="M24" s="88">
        <v>0.8</v>
      </c>
      <c r="N24" s="88">
        <v>0.96</v>
      </c>
      <c r="O24" s="88">
        <v>0.28999999999999998</v>
      </c>
      <c r="P24" s="88">
        <v>0.34</v>
      </c>
      <c r="Q24" s="88">
        <v>0.23</v>
      </c>
      <c r="R24" s="88">
        <v>0.28000000000000003</v>
      </c>
    </row>
    <row r="25" spans="1:33" ht="17.399999999999999" thickBot="1" x14ac:dyDescent="0.45">
      <c r="A25" s="1" t="s">
        <v>178</v>
      </c>
      <c r="B25" s="97">
        <v>43349</v>
      </c>
      <c r="C25" s="89">
        <v>3.47</v>
      </c>
      <c r="D25" s="89">
        <v>4.18</v>
      </c>
      <c r="E25" s="89">
        <v>2.31</v>
      </c>
      <c r="F25" s="89">
        <v>2.79</v>
      </c>
      <c r="G25" s="89">
        <v>1.54</v>
      </c>
      <c r="H25" s="89">
        <v>1.86</v>
      </c>
      <c r="I25" s="89">
        <v>1.03</v>
      </c>
      <c r="J25" s="89">
        <v>1.24</v>
      </c>
      <c r="K25" s="89">
        <v>0.78</v>
      </c>
      <c r="L25" s="89">
        <v>0.94</v>
      </c>
      <c r="M25" s="89">
        <v>0.62</v>
      </c>
      <c r="N25" s="89">
        <v>0.75</v>
      </c>
      <c r="O25" s="89">
        <v>0.18</v>
      </c>
      <c r="P25" s="89">
        <v>0.22</v>
      </c>
      <c r="Q25" s="89">
        <v>0.15</v>
      </c>
      <c r="R25" s="89">
        <v>0.18</v>
      </c>
      <c r="Z25" s="147"/>
      <c r="AA25" s="148"/>
      <c r="AB25" s="149"/>
      <c r="AC25" s="148"/>
      <c r="AD25" s="149"/>
      <c r="AE25" s="148"/>
      <c r="AF25" s="149"/>
      <c r="AG25" s="148"/>
    </row>
    <row r="26" spans="1:33" x14ac:dyDescent="0.4">
      <c r="A26" s="1" t="s">
        <v>179</v>
      </c>
      <c r="B26" s="97">
        <v>43336</v>
      </c>
      <c r="C26" s="88">
        <v>4.1900000000000004</v>
      </c>
      <c r="D26" s="88">
        <v>5.04</v>
      </c>
      <c r="E26" s="88">
        <v>2.79</v>
      </c>
      <c r="F26" s="88">
        <v>3.36</v>
      </c>
      <c r="G26" s="88">
        <v>1.86</v>
      </c>
      <c r="H26" s="88">
        <v>2.2400000000000002</v>
      </c>
      <c r="I26" s="88">
        <v>1.24</v>
      </c>
      <c r="J26" s="88">
        <v>1.49</v>
      </c>
      <c r="K26" s="88">
        <v>0.95</v>
      </c>
      <c r="L26" s="88">
        <v>1.1399999999999999</v>
      </c>
      <c r="M26" s="88">
        <v>0.75</v>
      </c>
      <c r="N26" s="88">
        <v>0.9</v>
      </c>
      <c r="O26" s="88">
        <v>0.25</v>
      </c>
      <c r="P26" s="88">
        <v>0.3</v>
      </c>
      <c r="Q26" s="88">
        <v>0.21</v>
      </c>
      <c r="R26" s="88">
        <v>0.25</v>
      </c>
    </row>
    <row r="27" spans="1:33" x14ac:dyDescent="0.4">
      <c r="A27" s="1" t="s">
        <v>180</v>
      </c>
      <c r="B27" s="97">
        <v>43017</v>
      </c>
      <c r="C27" s="89">
        <v>4.09</v>
      </c>
      <c r="D27" s="89">
        <v>4.95</v>
      </c>
      <c r="E27" s="89">
        <v>2.72</v>
      </c>
      <c r="F27" s="89">
        <v>3.3</v>
      </c>
      <c r="G27" s="89">
        <v>1.82</v>
      </c>
      <c r="H27" s="89">
        <v>2.2000000000000002</v>
      </c>
      <c r="I27" s="89">
        <v>1.21</v>
      </c>
      <c r="J27" s="89">
        <v>1.47</v>
      </c>
      <c r="K27" s="89">
        <v>0.92</v>
      </c>
      <c r="L27" s="89">
        <v>1.1200000000000001</v>
      </c>
      <c r="M27" s="89">
        <v>0.73</v>
      </c>
      <c r="N27" s="89">
        <v>0.88</v>
      </c>
      <c r="O27" s="89">
        <v>0.27</v>
      </c>
      <c r="P27" s="89">
        <v>0.32</v>
      </c>
      <c r="Q27" s="89">
        <v>0.22</v>
      </c>
      <c r="R27" s="89">
        <v>0.26</v>
      </c>
    </row>
    <row r="28" spans="1:33" x14ac:dyDescent="0.4">
      <c r="A28" s="1" t="s">
        <v>181</v>
      </c>
      <c r="B28" s="97">
        <v>43643</v>
      </c>
      <c r="C28" s="88">
        <v>4.71</v>
      </c>
      <c r="D28" s="88">
        <v>5.67</v>
      </c>
      <c r="E28" s="88">
        <v>3.14</v>
      </c>
      <c r="F28" s="88">
        <v>3.78</v>
      </c>
      <c r="G28" s="88">
        <v>2.09</v>
      </c>
      <c r="H28" s="88">
        <v>2.52</v>
      </c>
      <c r="I28" s="88">
        <v>1.39</v>
      </c>
      <c r="J28" s="88">
        <v>1.68</v>
      </c>
      <c r="K28" s="88">
        <v>1.06</v>
      </c>
      <c r="L28" s="88">
        <v>1.28</v>
      </c>
      <c r="M28" s="88">
        <v>0.84</v>
      </c>
      <c r="N28" s="88">
        <v>1.01</v>
      </c>
      <c r="O28" s="88">
        <v>0.26</v>
      </c>
      <c r="P28" s="88">
        <v>0.31</v>
      </c>
      <c r="Q28" s="88">
        <v>0.21</v>
      </c>
      <c r="R28" s="88">
        <v>0.25</v>
      </c>
      <c r="V28" s="155"/>
    </row>
    <row r="29" spans="1:33" x14ac:dyDescent="0.4">
      <c r="A29" s="1" t="s">
        <v>182</v>
      </c>
      <c r="B29" s="97">
        <v>43690</v>
      </c>
      <c r="C29" s="89">
        <v>4.95</v>
      </c>
      <c r="D29" s="89">
        <v>5.97</v>
      </c>
      <c r="E29" s="89">
        <v>3.3</v>
      </c>
      <c r="F29" s="89">
        <v>3.98</v>
      </c>
      <c r="G29" s="89">
        <v>2.2000000000000002</v>
      </c>
      <c r="H29" s="89">
        <v>2.65</v>
      </c>
      <c r="I29" s="89">
        <v>1.47</v>
      </c>
      <c r="J29" s="89">
        <v>1.77</v>
      </c>
      <c r="K29" s="89">
        <v>1.1200000000000001</v>
      </c>
      <c r="L29" s="89">
        <v>1.35</v>
      </c>
      <c r="M29" s="89">
        <v>0.88</v>
      </c>
      <c r="N29" s="89">
        <v>1.07</v>
      </c>
      <c r="O29" s="89">
        <v>0.27</v>
      </c>
      <c r="P29" s="89">
        <v>0.33</v>
      </c>
      <c r="Q29" s="89">
        <v>0.22</v>
      </c>
      <c r="R29" s="89">
        <v>0.27</v>
      </c>
      <c r="V29" s="154"/>
    </row>
    <row r="30" spans="1:33" x14ac:dyDescent="0.4">
      <c r="A30" s="1" t="s">
        <v>183</v>
      </c>
      <c r="B30" s="97">
        <v>43761</v>
      </c>
      <c r="C30" s="88">
        <v>3.69</v>
      </c>
      <c r="D30" s="88">
        <v>4.45</v>
      </c>
      <c r="E30" s="88">
        <v>2.46</v>
      </c>
      <c r="F30" s="88">
        <v>2.96</v>
      </c>
      <c r="G30" s="88">
        <v>1.64</v>
      </c>
      <c r="H30" s="88">
        <v>1.98</v>
      </c>
      <c r="I30" s="88">
        <v>1.0900000000000001</v>
      </c>
      <c r="J30" s="88">
        <v>1.32</v>
      </c>
      <c r="K30" s="88">
        <v>0.83</v>
      </c>
      <c r="L30" s="88">
        <v>1.01</v>
      </c>
      <c r="M30" s="88">
        <v>0.66</v>
      </c>
      <c r="N30" s="88">
        <v>0.79</v>
      </c>
      <c r="O30" s="88">
        <v>0.2</v>
      </c>
      <c r="P30" s="88">
        <v>0.23</v>
      </c>
      <c r="Q30" s="88">
        <v>0.16</v>
      </c>
      <c r="R30" s="88">
        <v>0.19</v>
      </c>
      <c r="V30" s="155"/>
    </row>
    <row r="31" spans="1:33" x14ac:dyDescent="0.4">
      <c r="A31" s="1" t="s">
        <v>184</v>
      </c>
      <c r="B31" s="97">
        <v>43761</v>
      </c>
      <c r="C31" s="89">
        <v>4.49</v>
      </c>
      <c r="D31" s="89">
        <v>5.4</v>
      </c>
      <c r="E31" s="89">
        <v>2.99</v>
      </c>
      <c r="F31" s="89">
        <v>3.6</v>
      </c>
      <c r="G31" s="89">
        <v>1.99</v>
      </c>
      <c r="H31" s="89">
        <v>2.4</v>
      </c>
      <c r="I31" s="89">
        <v>1.33</v>
      </c>
      <c r="J31" s="89">
        <v>1.6</v>
      </c>
      <c r="K31" s="89">
        <v>1.01</v>
      </c>
      <c r="L31" s="89">
        <v>1.22</v>
      </c>
      <c r="M31" s="89">
        <v>0.8</v>
      </c>
      <c r="N31" s="89">
        <v>0.96</v>
      </c>
      <c r="O31" s="89">
        <v>0.3</v>
      </c>
      <c r="P31" s="89">
        <v>0.36</v>
      </c>
      <c r="Q31" s="89">
        <v>0.25</v>
      </c>
      <c r="R31" s="89">
        <v>0.28999999999999998</v>
      </c>
      <c r="V31" s="154"/>
    </row>
    <row r="32" spans="1:33" x14ac:dyDescent="0.4">
      <c r="A32" s="1" t="s">
        <v>185</v>
      </c>
      <c r="B32" s="97">
        <v>43761</v>
      </c>
      <c r="C32" s="88">
        <v>4.3099999999999996</v>
      </c>
      <c r="D32" s="88">
        <v>5.19</v>
      </c>
      <c r="E32" s="88">
        <v>2.88</v>
      </c>
      <c r="F32" s="88">
        <v>3.46</v>
      </c>
      <c r="G32" s="88">
        <v>1.92</v>
      </c>
      <c r="H32" s="88">
        <v>2.31</v>
      </c>
      <c r="I32" s="88">
        <v>1.28</v>
      </c>
      <c r="J32" s="88">
        <v>1.54</v>
      </c>
      <c r="K32" s="88">
        <v>0.97</v>
      </c>
      <c r="L32" s="88">
        <v>1.17</v>
      </c>
      <c r="M32" s="88">
        <v>0.77</v>
      </c>
      <c r="N32" s="88">
        <v>0.93</v>
      </c>
      <c r="O32" s="88">
        <v>0.37</v>
      </c>
      <c r="P32" s="88">
        <v>0.44</v>
      </c>
      <c r="Q32" s="88">
        <v>0.3</v>
      </c>
      <c r="R32" s="88">
        <v>0.36</v>
      </c>
      <c r="V32" s="155"/>
    </row>
    <row r="33" spans="1:24" x14ac:dyDescent="0.4">
      <c r="A33" s="286" t="s">
        <v>186</v>
      </c>
      <c r="B33" s="287"/>
      <c r="C33" s="79">
        <f>AVERAGE(C6:C32)</f>
        <v>4.13</v>
      </c>
      <c r="D33" s="79">
        <f t="shared" ref="D33:R33" si="0">AVERAGE(D6:D32)</f>
        <v>4.9800000000000004</v>
      </c>
      <c r="E33" s="79">
        <f t="shared" si="0"/>
        <v>2.75</v>
      </c>
      <c r="F33" s="79">
        <f t="shared" si="0"/>
        <v>3.32</v>
      </c>
      <c r="G33" s="79">
        <f t="shared" si="0"/>
        <v>1.84</v>
      </c>
      <c r="H33" s="79">
        <f t="shared" si="0"/>
        <v>2.21</v>
      </c>
      <c r="I33" s="79">
        <f t="shared" si="0"/>
        <v>1.22</v>
      </c>
      <c r="J33" s="79">
        <f t="shared" si="0"/>
        <v>1.47</v>
      </c>
      <c r="K33" s="79">
        <f t="shared" si="0"/>
        <v>0.93</v>
      </c>
      <c r="L33" s="79">
        <f t="shared" si="0"/>
        <v>1.1200000000000001</v>
      </c>
      <c r="M33" s="79">
        <f t="shared" si="0"/>
        <v>0.74</v>
      </c>
      <c r="N33" s="79">
        <f t="shared" si="0"/>
        <v>0.89</v>
      </c>
      <c r="O33" s="79">
        <f t="shared" si="0"/>
        <v>0.25</v>
      </c>
      <c r="P33" s="79">
        <f t="shared" si="0"/>
        <v>0.3</v>
      </c>
      <c r="Q33" s="79">
        <f t="shared" si="0"/>
        <v>0.2</v>
      </c>
      <c r="R33" s="79">
        <f t="shared" si="0"/>
        <v>0.24</v>
      </c>
      <c r="V33" s="154"/>
    </row>
    <row r="34" spans="1:24" x14ac:dyDescent="0.4">
      <c r="A34" s="278" t="s">
        <v>187</v>
      </c>
      <c r="B34" s="279"/>
      <c r="C34" s="79">
        <f>SMALL(C6:C32,27)</f>
        <v>5.6</v>
      </c>
      <c r="D34" s="79">
        <f t="shared" ref="D34:R34" si="1">SMALL(D6:D32,27)</f>
        <v>6.73</v>
      </c>
      <c r="E34" s="79">
        <f t="shared" si="1"/>
        <v>3.73</v>
      </c>
      <c r="F34" s="79">
        <f t="shared" si="1"/>
        <v>4.4800000000000004</v>
      </c>
      <c r="G34" s="79">
        <f t="shared" si="1"/>
        <v>2.4900000000000002</v>
      </c>
      <c r="H34" s="79">
        <f t="shared" si="1"/>
        <v>2.99</v>
      </c>
      <c r="I34" s="79">
        <f t="shared" si="1"/>
        <v>1.66</v>
      </c>
      <c r="J34" s="79">
        <f t="shared" si="1"/>
        <v>1.99</v>
      </c>
      <c r="K34" s="79">
        <f t="shared" si="1"/>
        <v>1.26</v>
      </c>
      <c r="L34" s="79">
        <f t="shared" si="1"/>
        <v>1.52</v>
      </c>
      <c r="M34" s="79">
        <f t="shared" si="1"/>
        <v>1</v>
      </c>
      <c r="N34" s="79">
        <f t="shared" si="1"/>
        <v>1.2</v>
      </c>
      <c r="O34" s="79">
        <f t="shared" si="1"/>
        <v>0.4</v>
      </c>
      <c r="P34" s="79">
        <f t="shared" si="1"/>
        <v>0.48</v>
      </c>
      <c r="Q34" s="79">
        <f t="shared" si="1"/>
        <v>0.33</v>
      </c>
      <c r="R34" s="79">
        <f t="shared" si="1"/>
        <v>0.39</v>
      </c>
      <c r="V34" s="155"/>
      <c r="X34" s="152"/>
    </row>
    <row r="35" spans="1:24" x14ac:dyDescent="0.4">
      <c r="A35" s="278" t="s">
        <v>188</v>
      </c>
      <c r="B35" s="279"/>
      <c r="C35" s="79">
        <f>LARGE(C7:C33,27)</f>
        <v>3.47</v>
      </c>
      <c r="D35" s="79">
        <f t="shared" ref="D35:R35" si="2">LARGE(D7:D33,27)</f>
        <v>4.18</v>
      </c>
      <c r="E35" s="79">
        <f t="shared" si="2"/>
        <v>2.31</v>
      </c>
      <c r="F35" s="79">
        <f t="shared" si="2"/>
        <v>2.79</v>
      </c>
      <c r="G35" s="79">
        <f t="shared" si="2"/>
        <v>1.54</v>
      </c>
      <c r="H35" s="79">
        <f t="shared" si="2"/>
        <v>1.86</v>
      </c>
      <c r="I35" s="79">
        <f t="shared" si="2"/>
        <v>1.03</v>
      </c>
      <c r="J35" s="79">
        <f t="shared" si="2"/>
        <v>1.24</v>
      </c>
      <c r="K35" s="79">
        <f t="shared" si="2"/>
        <v>0.78</v>
      </c>
      <c r="L35" s="79">
        <f t="shared" si="2"/>
        <v>0.94</v>
      </c>
      <c r="M35" s="79">
        <f t="shared" si="2"/>
        <v>0.62</v>
      </c>
      <c r="N35" s="79">
        <f t="shared" si="2"/>
        <v>0.75</v>
      </c>
      <c r="O35" s="79">
        <f t="shared" si="2"/>
        <v>0.18</v>
      </c>
      <c r="P35" s="79">
        <f t="shared" si="2"/>
        <v>0.22</v>
      </c>
      <c r="Q35" s="79">
        <f t="shared" si="2"/>
        <v>0.15</v>
      </c>
      <c r="R35" s="79">
        <f t="shared" si="2"/>
        <v>0.18</v>
      </c>
      <c r="V35" s="154"/>
      <c r="X35" s="153"/>
    </row>
    <row r="36" spans="1:24" x14ac:dyDescent="0.4">
      <c r="L36" s="85"/>
      <c r="M36" s="85"/>
      <c r="N36" s="85"/>
      <c r="Q36" s="85"/>
      <c r="X36" s="152"/>
    </row>
    <row r="37" spans="1:24" x14ac:dyDescent="0.4">
      <c r="X37" s="153"/>
    </row>
    <row r="38" spans="1:24" x14ac:dyDescent="0.4">
      <c r="X38" s="152"/>
    </row>
    <row r="39" spans="1:24" x14ac:dyDescent="0.4">
      <c r="X39" s="153"/>
    </row>
    <row r="40" spans="1:24" x14ac:dyDescent="0.4">
      <c r="X40" s="152"/>
    </row>
    <row r="41" spans="1:24" x14ac:dyDescent="0.4">
      <c r="X41" s="153"/>
    </row>
  </sheetData>
  <sheetProtection sheet="1" objects="1" scenarios="1"/>
  <mergeCells count="9">
    <mergeCell ref="K2:N3"/>
    <mergeCell ref="O2:R3"/>
    <mergeCell ref="A33:B33"/>
    <mergeCell ref="A34:B34"/>
    <mergeCell ref="A35:B35"/>
    <mergeCell ref="A2:A5"/>
    <mergeCell ref="B2:B5"/>
    <mergeCell ref="C2:F3"/>
    <mergeCell ref="G2:J3"/>
  </mergeCells>
  <printOptions horizontalCentered="1" verticalCentered="1"/>
  <pageMargins left="0.15748031496062992" right="0.19685039370078741" top="0.17" bottom="0.15748031496062992" header="0.17" footer="0.17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3.2" x14ac:dyDescent="0.25"/>
  <cols>
    <col min="1" max="1" width="21.5546875" bestFit="1" customWidth="1"/>
    <col min="2" max="2" width="21" customWidth="1"/>
    <col min="3" max="3" width="18.44140625" customWidth="1"/>
    <col min="4" max="4" width="14.6640625" customWidth="1"/>
  </cols>
  <sheetData>
    <row r="1" spans="1:4" ht="20.25" customHeight="1" x14ac:dyDescent="0.25">
      <c r="A1" s="297" t="s">
        <v>220</v>
      </c>
      <c r="B1" s="297"/>
      <c r="C1" s="297"/>
      <c r="D1" s="297"/>
    </row>
    <row r="2" spans="1:4" x14ac:dyDescent="0.25">
      <c r="A2" s="270" t="s">
        <v>132</v>
      </c>
      <c r="B2" s="270" t="s">
        <v>133</v>
      </c>
      <c r="C2" s="274" t="s">
        <v>221</v>
      </c>
      <c r="D2" s="270" t="s">
        <v>222</v>
      </c>
    </row>
    <row r="3" spans="1:4" ht="36" customHeight="1" x14ac:dyDescent="0.25">
      <c r="A3" s="270"/>
      <c r="B3" s="270"/>
      <c r="C3" s="275"/>
      <c r="D3" s="270"/>
    </row>
    <row r="4" spans="1:4" ht="16.8" x14ac:dyDescent="0.25">
      <c r="A4" s="270"/>
      <c r="B4" s="98" t="s">
        <v>134</v>
      </c>
      <c r="C4" s="98" t="s">
        <v>223</v>
      </c>
      <c r="D4" s="98" t="s">
        <v>224</v>
      </c>
    </row>
    <row r="5" spans="1:4" ht="16.8" x14ac:dyDescent="0.25">
      <c r="A5" s="71" t="s">
        <v>135</v>
      </c>
      <c r="B5" s="73">
        <f>AREA_INTERNA_TOTAL</f>
        <v>7548.85</v>
      </c>
      <c r="C5" s="74">
        <f>PRODUT_AREA_INTERNA</f>
        <v>0</v>
      </c>
      <c r="D5" s="143">
        <f>IFERROR(AREA_INTERNA_TOTAL/PRODUT_AREA_INTERNA,0)</f>
        <v>0</v>
      </c>
    </row>
    <row r="6" spans="1:4" ht="16.8" x14ac:dyDescent="0.25">
      <c r="A6" s="71" t="s">
        <v>136</v>
      </c>
      <c r="B6" s="75">
        <f>AREA_EXTERNA_TOTAL</f>
        <v>6435.65</v>
      </c>
      <c r="C6" s="29">
        <f>PRODUT_AREA_EXTERNA</f>
        <v>0</v>
      </c>
      <c r="D6" s="144">
        <f>IFERROR(AREA_EXTERNA_TOTAL/PRODUT_AREA_EXTERNA,0)</f>
        <v>0</v>
      </c>
    </row>
    <row r="7" spans="1:4" ht="16.8" x14ac:dyDescent="0.25">
      <c r="A7" s="71" t="s">
        <v>137</v>
      </c>
      <c r="B7" s="73">
        <f>AREA_ESQ_EXTERNA_TOTAL</f>
        <v>1811.1</v>
      </c>
      <c r="C7" s="74">
        <f>PRODUT_AREA_ESQ_EXTERNA</f>
        <v>0</v>
      </c>
      <c r="D7" s="143">
        <f>IFERROR((AREA_ESQ_EXTERNA_TOTAL*(COEF_KI_ESQ_EXTERNA_ENC+COEF_KI_ESQ_EXTERNA_SERV)),0)</f>
        <v>0</v>
      </c>
    </row>
    <row r="8" spans="1:4" ht="16.8" x14ac:dyDescent="0.25">
      <c r="A8" s="71" t="s">
        <v>138</v>
      </c>
      <c r="B8" s="75">
        <f>AREA_FACHADA_ENVID_TOTAL</f>
        <v>0</v>
      </c>
      <c r="C8" s="29">
        <f>PRODUT_AREA_FACHADA_ENVID</f>
        <v>0</v>
      </c>
      <c r="D8" s="144">
        <f>IFERROR(AREA_FACHADA_ENVID_TOTAL*(COEF_KI_FACHADA_ENVID_ENC+COEF_KI_ESQ_EXTERNA_SERV),0)</f>
        <v>0</v>
      </c>
    </row>
    <row r="9" spans="1:4" ht="16.8" x14ac:dyDescent="0.25">
      <c r="A9" s="71" t="s">
        <v>139</v>
      </c>
      <c r="B9" s="73">
        <f>AREA_MED_HOSP_TOTAL</f>
        <v>0</v>
      </c>
      <c r="C9" s="74">
        <f>PRODUT_AREA_HOSPITALAR</f>
        <v>0</v>
      </c>
      <c r="D9" s="143">
        <f>IFERROR(AREA_MED_HOSP_TOTAL/PRODUT_AREA_HOSPITALAR,0)</f>
        <v>0</v>
      </c>
    </row>
    <row r="10" spans="1:4" ht="16.8" x14ac:dyDescent="0.25">
      <c r="A10" s="271" t="s">
        <v>220</v>
      </c>
      <c r="B10" s="272"/>
      <c r="C10" s="273"/>
      <c r="D10" s="104">
        <f>TRUNC(SUM(D5:D9),0)</f>
        <v>0</v>
      </c>
    </row>
  </sheetData>
  <sheetProtection sheet="1" objects="1" scenarios="1"/>
  <mergeCells count="6">
    <mergeCell ref="A1:D1"/>
    <mergeCell ref="D2:D3"/>
    <mergeCell ref="A10:C10"/>
    <mergeCell ref="A2:A4"/>
    <mergeCell ref="B2:B3"/>
    <mergeCell ref="C2:C3"/>
  </mergeCells>
  <printOptions horizontalCentered="1"/>
  <pageMargins left="0.51181102362204722" right="0.51181102362204722" top="0.35433070866141736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162</vt:i4>
      </vt:variant>
    </vt:vector>
  </HeadingPairs>
  <TitlesOfParts>
    <vt:vector size="169" baseType="lpstr">
      <vt:lpstr>INSERÇÃO-DE-DADOS</vt:lpstr>
      <vt:lpstr>DADOS-ESTATISTICOS</vt:lpstr>
      <vt:lpstr>ENCARGOS-SOCIAIS-E-TRABALHISTAS</vt:lpstr>
      <vt:lpstr>SERVENTES</vt:lpstr>
      <vt:lpstr>LIMITES-SEGES-PORT-7-2015</vt:lpstr>
      <vt:lpstr>LIMITES-SEGES-PORT-213-2017</vt:lpstr>
      <vt:lpstr>QTDE-ESTIMADA-SERVENTES</vt:lpstr>
      <vt:lpstr>ACORDO_COLETIVO</vt:lpstr>
      <vt:lpstr>ADIC_INSALUB_ENC</vt:lpstr>
      <vt:lpstr>ADIC_INSALUB_SERV</vt:lpstr>
      <vt:lpstr>ADIC_INSALUB_SERV_HOSP</vt:lpstr>
      <vt:lpstr>SERVENTES!AL_1_A_SAL_BASE_SERV</vt:lpstr>
      <vt:lpstr>AL_1_C_OUTROS_REM_1_SERV</vt:lpstr>
      <vt:lpstr>AL_1_D_OUTROS_REM_2_SERV</vt:lpstr>
      <vt:lpstr>AL_1_E_OUTROS_REM_3_SERV</vt:lpstr>
      <vt:lpstr>SERVENTES!AL_2_1_B_ADIC_FERIAS_SERV</vt:lpstr>
      <vt:lpstr>SERVENTES!AL_2_2_FGTS_SERV</vt:lpstr>
      <vt:lpstr>SERVENTES!AL_2_3_A_TRANSP_SERV</vt:lpstr>
      <vt:lpstr>SERVENTES!AL_2_3_B_AUX_ALIMENT_SERV</vt:lpstr>
      <vt:lpstr>SERVENTES!AL_2_3_C_OUTROS_BENEF_1_SERV</vt:lpstr>
      <vt:lpstr>SERVENTES!AL_2_A_ATE_2_G_GPS_SERV</vt:lpstr>
      <vt:lpstr>SERVENTES!AL_6_A_CUSTOS_INDIRETOS_SERV</vt:lpstr>
      <vt:lpstr>SERVENTES!AL_6_B_LUCRO_SERV</vt:lpstr>
      <vt:lpstr>SERVENTES!AL_6_C_1_PIS_SERV</vt:lpstr>
      <vt:lpstr>SERVENTES!AL_6_C_2_COFINS_SERV</vt:lpstr>
      <vt:lpstr>SERVENTES!AL_6_C_3_ISS_SERV</vt:lpstr>
      <vt:lpstr>SERVENTES!AL_6_C_TRIBUTOS_SERV</vt:lpstr>
      <vt:lpstr>ALIMENTACAO_POR_DIA</vt:lpstr>
      <vt:lpstr>AREA_ESQ_EXTERNA_ANEXOS</vt:lpstr>
      <vt:lpstr>AREA_ESQ_EXTERNA_PTMS_PRMS</vt:lpstr>
      <vt:lpstr>AREA_ESQ_EXTERNA_SEDE</vt:lpstr>
      <vt:lpstr>AREA_ESQ_EXTERNA_TOTAL</vt:lpstr>
      <vt:lpstr>AREA_EXTERNA_ANEXOS</vt:lpstr>
      <vt:lpstr>AREA_EXTERNA_PTMS_PRMS</vt:lpstr>
      <vt:lpstr>AREA_EXTERNA_SEDE</vt:lpstr>
      <vt:lpstr>AREA_EXTERNA_TOTAL</vt:lpstr>
      <vt:lpstr>AREA_FACHADA_ENVID_ANEXOS</vt:lpstr>
      <vt:lpstr>AREA_FACHADA_ENVID_PTMS_PRMS</vt:lpstr>
      <vt:lpstr>AREA_FACHADA_ENVID_SEDE</vt:lpstr>
      <vt:lpstr>AREA_FACHADA_ENVID_TOTAL</vt:lpstr>
      <vt:lpstr>AREA_INTERNA_ANEXOS</vt:lpstr>
      <vt:lpstr>AREA_INTERNA_PTMS_PRMS</vt:lpstr>
      <vt:lpstr>AREA_INTERNA_SEDE</vt:lpstr>
      <vt:lpstr>AREA_INTERNA_TOTAL</vt:lpstr>
      <vt:lpstr>AREA_MED_HOSP_ANEXOS</vt:lpstr>
      <vt:lpstr>AREA_MED_HOSP_PTMS_PRMS</vt:lpstr>
      <vt:lpstr>AREA_MED_HOSP_SEDE</vt:lpstr>
      <vt:lpstr>AREA_MED_HOSP_TOTAL</vt:lpstr>
      <vt:lpstr>CARGA_HORARIA_SEMANAL</vt:lpstr>
      <vt:lpstr>CATEGORIA_PROFISSIONAL_ENC</vt:lpstr>
      <vt:lpstr>CATEGORIA_PROFISSIONAL_SERV</vt:lpstr>
      <vt:lpstr>CATEGORIA_PROFISSIONAL_SERV_HOSP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ENCARREGADO_DE_LIMPEZA</vt:lpstr>
      <vt:lpstr>EQUIPAMENTOS</vt:lpstr>
      <vt:lpstr>FREQ_ESQ_EXTERNA</vt:lpstr>
      <vt:lpstr>FREQ_FACHADA_ENVID</vt:lpstr>
      <vt:lpstr>HORA_NORMAL</vt:lpstr>
      <vt:lpstr>HORARIO_LICITACAO</vt:lpstr>
      <vt:lpstr>LOCAL_DE_EXECUCAO</vt:lpstr>
      <vt:lpstr>MATERIAIS</vt:lpstr>
      <vt:lpstr>MEDIA_ANUAL_DIAS_TRABALHO_MES</vt:lpstr>
      <vt:lpstr>MESES_NO_ANO</vt:lpstr>
      <vt:lpstr>MESES_NO_SEMESTRE</vt:lpstr>
      <vt:lpstr>SERVENTES!MOD_1_REMUNERACAO_SERV</vt:lpstr>
      <vt:lpstr>SERVENTES!MOD_3_PROVISAO_RESCISAO_SERV</vt:lpstr>
      <vt:lpstr>SERVENTES!MOD_5_INSUMOS_SERV</vt:lpstr>
      <vt:lpstr>SERVENTES!MOD_6_CUSTOS_IND_LUCRO_TRIB_SERV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PERC_ADIC_INSALUB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SERVENTES!PERC_MOD_3_PROVISAO_RESCISAO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SERVENTES!PERC_TRIBUTOS</vt:lpstr>
      <vt:lpstr>PORTARIA_LIMITES</vt:lpstr>
      <vt:lpstr>PRODUT_AREA_ESQ_EXTERNA</vt:lpstr>
      <vt:lpstr>PRODUT_AREA_EXTERNA</vt:lpstr>
      <vt:lpstr>PRODUT_AREA_FACHADA_ENVID</vt:lpstr>
      <vt:lpstr>PRODUT_AREA_HOSPITALAR</vt:lpstr>
      <vt:lpstr>PRODUT_AREA_INTERNA</vt:lpstr>
      <vt:lpstr>QTDE_DE_ENC</vt:lpstr>
      <vt:lpstr>QTDE_DE_SERV</vt:lpstr>
      <vt:lpstr>QTDE_DE_SERV_HOSP</vt:lpstr>
      <vt:lpstr>QTDE_ESTIMADA_SERVENTES</vt:lpstr>
      <vt:lpstr>RAMO</vt:lpstr>
      <vt:lpstr>RELACAO_SERVENTES_ENCARREGADOS</vt:lpstr>
      <vt:lpstr>SAL_MINIMO</vt:lpstr>
      <vt:lpstr>SALARIO_NORMATIVO_ENC</vt:lpstr>
      <vt:lpstr>SALARIO_NORMATIVO_SERV</vt:lpstr>
      <vt:lpstr>SALARIO_NORMATIVO_SERV_HOSP</vt:lpstr>
      <vt:lpstr>SERVENTE</vt:lpstr>
      <vt:lpstr>SERVENTE_AREA_HOSPITALAR</vt:lpstr>
      <vt:lpstr>SERVENTES!SUBMOD_2_1_DEC_TERC_ADIC_FERIAS_SERV</vt:lpstr>
      <vt:lpstr>SERVENTES!SUBMOD_2_2_GPS_FGTS_SERV</vt:lpstr>
      <vt:lpstr>SERVENTES!SUBMOD_2_3_BENEFICIOS_SERV</vt:lpstr>
      <vt:lpstr>SERVENTES!SUBMOD_4_1_SUBSTITUTO_SERV</vt:lpstr>
      <vt:lpstr>SERVENTES!SUBMOD_4_2_INTRAJORNADA_SERV</vt:lpstr>
      <vt:lpstr>TEMPO_INTERVALO_REFEICAO</vt:lpstr>
      <vt:lpstr>TIPO_DE_SERVICO</vt:lpstr>
      <vt:lpstr>TRANSPORTE_POR_DIA</vt:lpstr>
      <vt:lpstr>UF</vt:lpstr>
      <vt:lpstr>UG</vt:lpstr>
      <vt:lpstr>UNIFORMES</vt:lpstr>
      <vt:lpstr>VALOR_TOTAL_SERV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Usuário do Windows</cp:lastModifiedBy>
  <cp:lastPrinted>2019-08-28T14:08:05Z</cp:lastPrinted>
  <dcterms:created xsi:type="dcterms:W3CDTF">2014-02-07T18:14:59Z</dcterms:created>
  <dcterms:modified xsi:type="dcterms:W3CDTF">2024-01-22T17:44:46Z</dcterms:modified>
</cp:coreProperties>
</file>