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cnmpmpbr-my.sharepoint.com/personal/marciel_cnmp_mp_br/Documents/Área de Trabalho/"/>
    </mc:Choice>
  </mc:AlternateContent>
  <xr:revisionPtr revIDLastSave="3" documentId="8_{E7CD90D7-1748-40D7-90CB-90BF3A88ACEC}" xr6:coauthVersionLast="47" xr6:coauthVersionMax="47" xr10:uidLastSave="{A4F2C923-6FBC-45C7-92A3-9D274519B0C8}"/>
  <bookViews>
    <workbookView xWindow="28680" yWindow="-120" windowWidth="29040" windowHeight="15840" tabRatio="950" firstSheet="1" activeTab="1" xr2:uid="{00000000-000D-0000-FFFF-FFFF00000000}"/>
  </bookViews>
  <sheets>
    <sheet name="Áreas CNMP" sheetId="24" r:id="rId1"/>
    <sheet name="Área &quot;Banheiros&quot;" sheetId="25" r:id="rId2"/>
    <sheet name="Área e produtividade" sheetId="27" r:id="rId3"/>
    <sheet name="Quantidade colaboradores" sheetId="28" r:id="rId4"/>
    <sheet name="Preço mensal unitário por m²" sheetId="29" r:id="rId5"/>
    <sheet name="Uniforme" sheetId="31" r:id="rId6"/>
    <sheet name="Materiais (insumos)" sheetId="33" r:id="rId7"/>
    <sheet name="Materiais (duráveis)" sheetId="34" r:id="rId8"/>
    <sheet name="Equipamentos" sheetId="35" r:id="rId9"/>
    <sheet name="DADOS-ESTATISTICOS" sheetId="23" state="hidden" r:id="rId10"/>
    <sheet name="ENCARGOS-SOCIAIS-E-TRABALHISTAS" sheetId="12" state="hidden" r:id="rId11"/>
    <sheet name="LIMITES-SEGES-PORT-7-2015" sheetId="17" state="hidden" r:id="rId12"/>
    <sheet name="LIMITES-SEGES-PORT-213-2017" sheetId="18" state="hidden" r:id="rId13"/>
    <sheet name="QTDE-ESTIMADA-SERVENTES" sheetId="22" state="hidden" r:id="rId14"/>
  </sheets>
  <definedNames>
    <definedName name="_xlnm._FilterDatabase" localSheetId="7" hidden="1">'Materiais (duráveis)'!$A$2:$J$2</definedName>
    <definedName name="_xlnm._FilterDatabase" localSheetId="6" hidden="1">'Materiais (insumos)'!$A$2:$J$2</definedName>
    <definedName name="ACORDO_COLETIVO">#REF!</definedName>
    <definedName name="ADIC_INSALUB_ENC">#REF!</definedName>
    <definedName name="ADIC_INSALUB_SERV">#REF!</definedName>
    <definedName name="ADIC_INSALUB_SERV_HOSP">#REF!</definedName>
    <definedName name="AL_1_C_OUTROS_REM_1_SERV">#REF!</definedName>
    <definedName name="AL_1_D_OUTROS_REM_2_ENC">#REF!</definedName>
    <definedName name="AL_1_D_OUTROS_REM_2_SERV">#REF!</definedName>
    <definedName name="AL_1_E_OUTROS_REM_3_SERV">#REF!</definedName>
    <definedName name="ALIMENTACAO_POR_DIA">#REF!</definedName>
    <definedName name="AREA_ESQ_EXTERNA_ANEXOS">#REF!</definedName>
    <definedName name="AREA_ESQ_EXTERNA_PTMS_PRMS">#REF!</definedName>
    <definedName name="AREA_ESQ_EXTERNA_SEDE">#REF!</definedName>
    <definedName name="AREA_ESQ_EXTERNA_TOTAL">#REF!</definedName>
    <definedName name="AREA_EXTERNA_ANEXOS">#REF!</definedName>
    <definedName name="AREA_EXTERNA_PTMS_PRMS">#REF!</definedName>
    <definedName name="AREA_EXTERNA_SEDE">#REF!</definedName>
    <definedName name="AREA_EXTERNA_TOTAL">#REF!</definedName>
    <definedName name="AREA_FACHADA_ENVID_ANEXOS">#REF!</definedName>
    <definedName name="AREA_FACHADA_ENVID_PTMS_PRMS">#REF!</definedName>
    <definedName name="AREA_FACHADA_ENVID_SEDE">#REF!</definedName>
    <definedName name="AREA_FACHADA_ENVID_TOTAL">#REF!</definedName>
    <definedName name="AREA_INTERNA_ANEXOS">#REF!</definedName>
    <definedName name="AREA_INTERNA_PTMS_PRMS">#REF!</definedName>
    <definedName name="AREA_INTERNA_SEDE">#REF!</definedName>
    <definedName name="AREA_INTERNA_TOTAL">#REF!</definedName>
    <definedName name="AREA_MED_HOSP_ANEXOS">#REF!</definedName>
    <definedName name="AREA_MED_HOSP_PTMS_PRMS">#REF!</definedName>
    <definedName name="AREA_MED_HOSP_SEDE">#REF!</definedName>
    <definedName name="AREA_MED_HOSP_TOTAL">#REF!</definedName>
    <definedName name="CARGA_HORARIA_SEMANAL">'DADOS-ESTATISTICOS'!$F$11</definedName>
    <definedName name="CATEGORIA_PROFISSIONAL_ENC">#REF!</definedName>
    <definedName name="CATEGORIA_PROFISSIONAL_SERV">#REF!</definedName>
    <definedName name="CATEGORIA_PROFISSIONAL_SERV_HOSP">#REF!</definedName>
    <definedName name="CBO">#REF!</definedName>
    <definedName name="COEF_KI_ESQ_EXTERNA_ENC">#REF!</definedName>
    <definedName name="COEF_KI_ESQ_EXTERNA_SERV">#REF!</definedName>
    <definedName name="COEF_KI_FACHADA_ENVID_ENC">#REF!</definedName>
    <definedName name="COEF_KI_FACHADA_ENVID_SERV">#REF!</definedName>
    <definedName name="CUSTO_M2_AREA_EXTERNA">#REF!</definedName>
    <definedName name="CUSTO_M2_AREA_EXTERNA_ENC">#REF!</definedName>
    <definedName name="CUSTO_M2_AREA_EXTERNA_SERV">#REF!</definedName>
    <definedName name="CUSTO_M2_AREA_HOSPITALAR_ENC">#REF!</definedName>
    <definedName name="CUSTO_M2_AREA_HOSPITALAR_SERV">#REF!</definedName>
    <definedName name="CUSTO_M2_AREA_INTERNA">#REF!</definedName>
    <definedName name="CUSTO_M2_AREA_INTERNA_ENC">#REF!</definedName>
    <definedName name="CUSTO_M2_AREA_INTERNA_SERV">#REF!</definedName>
    <definedName name="CUSTO_M2_AREA_MED_HOSP">#REF!</definedName>
    <definedName name="CUSTO_M2_ESQ_EXTERNA">#REF!</definedName>
    <definedName name="CUSTO_M2_ESQ_EXTERNA_ENC">#REF!</definedName>
    <definedName name="CUSTO_M2_ESQ_EXTERNA_SERV">#REF!</definedName>
    <definedName name="CUSTO_M2_FACHADA_ENVID">#REF!</definedName>
    <definedName name="CUSTO_M2_FACHADA_ENVID_ENC">#REF!</definedName>
    <definedName name="CUSTO_M2_FACHADA_ENVID_SERV">#REF!</definedName>
    <definedName name="DATA_APRESENTACAO_PROPOSTA">#REF!</definedName>
    <definedName name="DATA_BASE_CATEGORIA">#REF!</definedName>
    <definedName name="DATA_DO_ORCAMENTO_ESTIMATIVO">#REF!</definedName>
    <definedName name="DATA_LICITACAO">#REF!</definedName>
    <definedName name="DIAS_AUSENCIAS_LEGAIS">'DADOS-ESTATISTICOS'!$F$29</definedName>
    <definedName name="DIAS_LICENCA_MATERNIDADE">'DADOS-ESTATISTICOS'!$F$35</definedName>
    <definedName name="DIAS_LICENCA_PATERNIDADE">'DADOS-ESTATISTICOS'!$F$30</definedName>
    <definedName name="DIAS_NA_SEMANA">'DADOS-ESTATISTICOS'!$F$5</definedName>
    <definedName name="DIAS_NO_ANO">'DADOS-ESTATISTICOS'!$F$6</definedName>
    <definedName name="DIAS_NO_MES">'DADOS-ESTATISTICOS'!$F$24</definedName>
    <definedName name="DIAS_PAGOS_EMPRESA_ACID_TRAB">'DADOS-ESTATISTICOS'!$F$34</definedName>
    <definedName name="DIAS_TRABALHADOS_NO_MES">#REF!</definedName>
    <definedName name="DIVISOR_DE_HORAS">'DADOS-ESTATISTICOS'!$F$4</definedName>
    <definedName name="ENCARREGADO_DE_LIMPEZA">#REF!</definedName>
    <definedName name="EQUIPAMENTOS">#REF!</definedName>
    <definedName name="FREQ_ESQ_EXTERNA">#REF!</definedName>
    <definedName name="FREQ_FACHADA_ENVID">#REF!</definedName>
    <definedName name="HORA_NORMAL">'DADOS-ESTATISTICOS'!$F$10</definedName>
    <definedName name="HORARIO_LICITACAO">#REF!</definedName>
    <definedName name="JORNADA_MES_ESQ_EXTERNA_ENC">#REF!</definedName>
    <definedName name="JORNADA_MES_ESQ_EXTERNA_SERV">#REF!</definedName>
    <definedName name="JORNADA_MES_FACHADA_ENVID_ENC">#REF!</definedName>
    <definedName name="JORNADA_MES_FACHADA_ENVID_SERV">#REF!</definedName>
    <definedName name="LOCAL_DE_EXECUCAO">#REF!</definedName>
    <definedName name="MATERIAIS">#REF!</definedName>
    <definedName name="MEDIA_ANUAL_DIAS_TRABALHO_MES">'DADOS-ESTATISTICOS'!$F$7</definedName>
    <definedName name="MESES_NO_ANO">'DADOS-ESTATISTICOS'!$F$8</definedName>
    <definedName name="MESES_NO_SEMESTRE">'DADOS-ESTATISTICOS'!$F$9</definedName>
    <definedName name="MOD_1_REMUNERACAO_SERV_HOSP">#REF!</definedName>
    <definedName name="MOD_3_PROVISAO_RESCISAO_SERV_HOSP">#REF!</definedName>
    <definedName name="MODALIDADE_DE_LICITACAO">#REF!</definedName>
    <definedName name="NUMERO_MESES_EXEC_CONTRATUAL">#REF!</definedName>
    <definedName name="NUMERO_PREGAO">#REF!</definedName>
    <definedName name="NUMERO_PROCESSO">#REF!</definedName>
    <definedName name="OUTRAS_AUSENCIAS">'ENCARGOS-SOCIAIS-E-TRABALHISTAS'!$E$31</definedName>
    <definedName name="OUTRAS_AUSENCIAS_DESCRICAO">#REF!</definedName>
    <definedName name="OUTROS_BENEFICIOS_1">#REF!</definedName>
    <definedName name="OUTROS_BENEFICIOS_1_DESCRICAO">#REF!</definedName>
    <definedName name="OUTROS_BENEFICIOS_2">#REF!</definedName>
    <definedName name="OUTROS_BENEFICIOS_2_DESCRICAO">#REF!</definedName>
    <definedName name="OUTROS_BENEFICIOS_3">#REF!</definedName>
    <definedName name="OUTROS_BENEFICIOS_3_DESCRICAO">#REF!</definedName>
    <definedName name="OUTROS_INSUMOS">#REF!</definedName>
    <definedName name="OUTROS_INSUMOS_DESCRICAO">#REF!</definedName>
    <definedName name="OUTROS_REMUNERACAO_1">#REF!</definedName>
    <definedName name="OUTROS_REMUNERACAO_1_DESCRICAO">#REF!</definedName>
    <definedName name="OUTROS_REMUNERACAO_2">#REF!</definedName>
    <definedName name="OUTROS_REMUNERACAO_2_DESCRICAO">#REF!</definedName>
    <definedName name="OUTROS_REMUNERACAO_3">#REF!</definedName>
    <definedName name="OUTROS_REMUNERACAO_3_DESCRICAO">#REF!</definedName>
    <definedName name="PERC_ADIC_FERIAS">'ENCARGOS-SOCIAIS-E-TRABALHISTAS'!$E$6</definedName>
    <definedName name="PERC_ADIC_INSALUB">#REF!</definedName>
    <definedName name="PERC_AVISO_PREVIO_IND">'ENCARGOS-SOCIAIS-E-TRABALHISTAS'!$E$20</definedName>
    <definedName name="PERC_AVISO_PREVIO_TRAB">'ENCARGOS-SOCIAIS-E-TRABALHISTAS'!$E$21</definedName>
    <definedName name="PERC_COFINS">#REF!</definedName>
    <definedName name="PERC_CONTRIB_SOCIAL">'DADOS-ESTATISTICOS'!#REF!</definedName>
    <definedName name="PERC_CUSTOS_INDIRETOS">#REF!</definedName>
    <definedName name="PERC_DEC_TERC">'ENCARGOS-SOCIAIS-E-TRABALHISTAS'!$E$5</definedName>
    <definedName name="PERC_DESC_TRANSP_REMUNERACAO">'DADOS-ESTATISTICOS'!$F$16</definedName>
    <definedName name="PERC_EMPREG_AFAST_TRAB">'DADOS-ESTATISTICOS'!$F$33</definedName>
    <definedName name="PERC_EMPREG_AVISO_PREVIO_IND">'DADOS-ESTATISTICOS'!$F$21</definedName>
    <definedName name="PERC_EMPREG_AVISO_PREVIO_TRAB">'DADOS-ESTATISTICOS'!$F$23</definedName>
    <definedName name="PERC_EMPREG_DEMIT_SEM_JUSTA_CAUSA_TOTAL_DESLIG">'DADOS-ESTATISTICOS'!$F$20</definedName>
    <definedName name="PERC_FGTS">'ENCARGOS-SOCIAIS-E-TRABALHISTAS'!$E$16</definedName>
    <definedName name="PERC_FGTS_AVISO_PREV_IND">'ENCARGOS-SOCIAIS-E-TRABALHISTAS'!#REF!</definedName>
    <definedName name="PERC_GPS_FGTS">'ENCARGOS-SOCIAIS-E-TRABALHISTAS'!$E$17</definedName>
    <definedName name="PERC_GPS_FGTS_AVISO_PREVIO_TRAB">'ENCARGOS-SOCIAIS-E-TRABALHISTAS'!#REF!</definedName>
    <definedName name="PERC_HORA_EXTRA">#REF!</definedName>
    <definedName name="PERC_INCRA">'ENCARGOS-SOCIAIS-E-TRABALHISTAS'!$E$15</definedName>
    <definedName name="PERC_INSS">'ENCARGOS-SOCIAIS-E-TRABALHISTAS'!$E$9</definedName>
    <definedName name="PERC_ISS">#REF!</definedName>
    <definedName name="PERC_LUCRO">#REF!</definedName>
    <definedName name="PERC_MULTA_FGTS">'DADOS-ESTATISTICOS'!$F$22</definedName>
    <definedName name="PERC_MULTA_FGTS_AV_PREV_IND">'ENCARGOS-SOCIAIS-E-TRABALHISTAS'!#REF!</definedName>
    <definedName name="PERC_MULTA_FGTS_AV_PREV_TRAB">'ENCARGOS-SOCIAIS-E-TRABALHISTAS'!$E$22</definedName>
    <definedName name="PERC_NASCIDOS_VIVOS_POPUL_FEM">'DADOS-ESTATISTICOS'!$F$31</definedName>
    <definedName name="PERC_PARTIC_FEM_VIGIL">'DADOS-ESTATISTICOS'!$F$36</definedName>
    <definedName name="PERC_PARTIC_MASC_VIGIL">'DADOS-ESTATISTICOS'!$F$32</definedName>
    <definedName name="PERC_PIS">#REF!</definedName>
    <definedName name="PERC_RAT">'ENCARGOS-SOCIAIS-E-TRABALHISTAS'!$E$11</definedName>
    <definedName name="PERC_SAL_EDUCACAO">'ENCARGOS-SOCIAIS-E-TRABALHISTAS'!$E$10</definedName>
    <definedName name="PERC_SEBRAE">'ENCARGOS-SOCIAIS-E-TRABALHISTAS'!$E$14</definedName>
    <definedName name="PERC_SENAC">'ENCARGOS-SOCIAIS-E-TRABALHISTAS'!$E$13</definedName>
    <definedName name="PERC_SESC">'ENCARGOS-SOCIAIS-E-TRABALHISTAS'!$E$12</definedName>
    <definedName name="PERC_SUBSTITUTO_ACID_TRAB">'ENCARGOS-SOCIAIS-E-TRABALHISTAS'!$E$29</definedName>
    <definedName name="PERC_SUBSTITUTO_AFAST_MATERN">'ENCARGOS-SOCIAIS-E-TRABALHISTAS'!$E$30</definedName>
    <definedName name="PERC_SUBSTITUTO_AUSENCIAS_LEGAIS">'ENCARGOS-SOCIAIS-E-TRABALHISTAS'!$E$27</definedName>
    <definedName name="PERC_SUBSTITUTO_FERIAS">'ENCARGOS-SOCIAIS-E-TRABALHISTAS'!$E$26</definedName>
    <definedName name="PERC_SUBSTITUTO_LICENCA_PATERNIDADE">'ENCARGOS-SOCIAIS-E-TRABALHISTAS'!$E$28</definedName>
    <definedName name="PERC_SUBSTITUTO_OUTRAS_AUSENCIAS">#REF!</definedName>
    <definedName name="PORTARIA_LIMITES">#REF!</definedName>
    <definedName name="PRODUT_AREA_ESQ_EXTERNA">#REF!</definedName>
    <definedName name="PRODUT_AREA_EXTERNA">#REF!</definedName>
    <definedName name="PRODUT_AREA_FACHADA_ENVID">#REF!</definedName>
    <definedName name="PRODUT_AREA_HOSPITALAR">#REF!</definedName>
    <definedName name="PRODUT_AREA_INTERNA">#REF!</definedName>
    <definedName name="QTDE_DE_ENC">#REF!</definedName>
    <definedName name="QTDE_DE_SERV">#REF!</definedName>
    <definedName name="QTDE_DE_SERV_HOSP">#REF!</definedName>
    <definedName name="QTDE_ESTIMADA_SERVENTES">'QTDE-ESTIMADA-SERVENTES'!$D$10</definedName>
    <definedName name="RAMO">#REF!</definedName>
    <definedName name="RELACAO_SERVENTES_ENCARREGADOS">#REF!</definedName>
    <definedName name="SAL_MINIMO">#REF!</definedName>
    <definedName name="SALARIO_NORMATIVO_ENC">#REF!</definedName>
    <definedName name="SALARIO_NORMATIVO_SERV">#REF!</definedName>
    <definedName name="SALARIO_NORMATIVO_SERV_HOSP">#REF!</definedName>
    <definedName name="SERVENTE">#REF!</definedName>
    <definedName name="SERVENTE_AREA_HOSPITALAR">#REF!</definedName>
    <definedName name="SUBMOD_2_1_DEC_TERC_ADIC_FERIAS_SERV_HOSP">#REF!</definedName>
    <definedName name="SUBMOD_2_2_GPS_FGTS_SERV_HOSP">#REF!</definedName>
    <definedName name="TEMPO_INTERVALO_REFEICAO">#REF!</definedName>
    <definedName name="TIPO_DE_SERVICO">#REF!</definedName>
    <definedName name="TRANSPORTE_POR_DIA">#REF!</definedName>
    <definedName name="UF">#REF!</definedName>
    <definedName name="UG">#REF!</definedName>
    <definedName name="UNIFORMES">#REF!</definedName>
    <definedName name="VALOR_LIMITE_CONTRATACAO_POR_AREA">#REF!</definedName>
    <definedName name="VALOR_LIMITES_AREA_EXTERNA">#REF!</definedName>
    <definedName name="VALOR_LIMITES_AREA_INTERNA">#REF!</definedName>
    <definedName name="VALOR_LIMITES_ESQ_EXTERNA">#REF!</definedName>
    <definedName name="VALOR_LIMITES_FACHADA_ENVID">#REF!</definedName>
    <definedName name="VALOR_TOTAL_ENC">#REF!</definedName>
    <definedName name="VALOR_TOTAL_SERV">#REF!</definedName>
    <definedName name="VALOR_TOTAL_SERV_HOSP">#REF!</definedName>
  </definedNames>
  <calcPr calcId="191028" fullPrecision="0"/>
  <customWorkbookViews>
    <customWorkbookView name="teste" guid="{E22B0E03-E710-4313-B9E5-0BFE52A7E677}" maximized="1" xWindow="-8" yWindow="-8" windowWidth="1936" windowHeight="1056" tabRatio="89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33" l="1"/>
  <c r="J26" i="34"/>
  <c r="H25" i="34"/>
  <c r="I25" i="34" s="1"/>
  <c r="J25" i="34" s="1"/>
  <c r="H24" i="34"/>
  <c r="I24" i="34" s="1"/>
  <c r="J24" i="34" s="1"/>
  <c r="H23" i="34"/>
  <c r="I23" i="34" s="1"/>
  <c r="J23" i="34" s="1"/>
  <c r="H22" i="34"/>
  <c r="I22" i="34" s="1"/>
  <c r="J22" i="34" s="1"/>
  <c r="H13" i="34"/>
  <c r="I13" i="34" s="1"/>
  <c r="J13" i="34" s="1"/>
  <c r="H14" i="34"/>
  <c r="I14" i="34" s="1"/>
  <c r="J14" i="34" s="1"/>
  <c r="H10" i="34"/>
  <c r="I10" i="34" s="1"/>
  <c r="J10" i="34" s="1"/>
  <c r="D5" i="34"/>
  <c r="D6" i="34"/>
  <c r="D7" i="34"/>
  <c r="D8" i="34"/>
  <c r="D4" i="34"/>
  <c r="H13" i="31"/>
  <c r="H9" i="34"/>
  <c r="I9" i="34" s="1"/>
  <c r="J9" i="34" s="1"/>
  <c r="H8" i="34"/>
  <c r="H7" i="34"/>
  <c r="H6" i="34"/>
  <c r="H5" i="34"/>
  <c r="H4" i="34"/>
  <c r="H3" i="34"/>
  <c r="I3" i="34" s="1"/>
  <c r="J3" i="34" s="1"/>
  <c r="H3" i="33"/>
  <c r="I3" i="33" s="1"/>
  <c r="J3" i="33" s="1"/>
  <c r="H12" i="31"/>
  <c r="I12" i="31" s="1"/>
  <c r="J12" i="31" s="1"/>
  <c r="H12" i="34"/>
  <c r="I12" i="34" s="1"/>
  <c r="J12" i="34" s="1"/>
  <c r="H15" i="34"/>
  <c r="I15" i="34" s="1"/>
  <c r="J15" i="34" s="1"/>
  <c r="H16" i="34"/>
  <c r="I16" i="34" s="1"/>
  <c r="J16" i="34" s="1"/>
  <c r="H17" i="34"/>
  <c r="I17" i="34" s="1"/>
  <c r="J17" i="34" s="1"/>
  <c r="H18" i="34"/>
  <c r="I18" i="34" s="1"/>
  <c r="J18" i="34" s="1"/>
  <c r="H19" i="34"/>
  <c r="I19" i="34" s="1"/>
  <c r="J19" i="34" s="1"/>
  <c r="H20" i="34"/>
  <c r="I20" i="34" s="1"/>
  <c r="J20" i="34" s="1"/>
  <c r="H21" i="34"/>
  <c r="I21" i="34" s="1"/>
  <c r="J21" i="34" s="1"/>
  <c r="H11" i="34"/>
  <c r="I11" i="34" s="1"/>
  <c r="J11" i="34" s="1"/>
  <c r="I5" i="34" l="1"/>
  <c r="J5" i="34" s="1"/>
  <c r="I8" i="34"/>
  <c r="J8" i="34" s="1"/>
  <c r="I6" i="34"/>
  <c r="J6" i="34" s="1"/>
  <c r="I7" i="34"/>
  <c r="J7" i="34" s="1"/>
  <c r="I4" i="34"/>
  <c r="J4" i="34" s="1"/>
  <c r="I13" i="31"/>
  <c r="J13" i="31" s="1"/>
  <c r="J27" i="34" l="1"/>
  <c r="H59" i="33" l="1"/>
  <c r="I59" i="33" s="1"/>
  <c r="J59" i="33" s="1"/>
  <c r="H60" i="33"/>
  <c r="H61" i="33"/>
  <c r="I61" i="33" s="1"/>
  <c r="J61" i="33" s="1"/>
  <c r="H62" i="33"/>
  <c r="I62" i="33" s="1"/>
  <c r="J62" i="33" s="1"/>
  <c r="H63" i="33"/>
  <c r="I63" i="33" s="1"/>
  <c r="J63" i="33" s="1"/>
  <c r="H64" i="33"/>
  <c r="H65" i="33"/>
  <c r="I65" i="33" s="1"/>
  <c r="J65" i="33" s="1"/>
  <c r="H5" i="33"/>
  <c r="H6" i="33"/>
  <c r="H7" i="33"/>
  <c r="H32" i="33"/>
  <c r="H8" i="33"/>
  <c r="H9" i="33"/>
  <c r="I9" i="33" s="1"/>
  <c r="J9" i="33" s="1"/>
  <c r="H10" i="33"/>
  <c r="H12" i="33"/>
  <c r="H11" i="33"/>
  <c r="H14" i="33"/>
  <c r="H15" i="33"/>
  <c r="H13" i="33"/>
  <c r="H16" i="33"/>
  <c r="H17" i="33"/>
  <c r="I17" i="33" s="1"/>
  <c r="J17" i="33" s="1"/>
  <c r="H18" i="33"/>
  <c r="H19" i="33"/>
  <c r="I19" i="33" s="1"/>
  <c r="J19" i="33" s="1"/>
  <c r="H20" i="33"/>
  <c r="H22" i="33"/>
  <c r="I22" i="33" s="1"/>
  <c r="J22" i="33" s="1"/>
  <c r="H21" i="33"/>
  <c r="I21" i="33" s="1"/>
  <c r="J21" i="33" s="1"/>
  <c r="H23" i="33"/>
  <c r="H24" i="33"/>
  <c r="I24" i="33" s="1"/>
  <c r="J24" i="33" s="1"/>
  <c r="H25" i="33"/>
  <c r="H26" i="33"/>
  <c r="H27" i="33"/>
  <c r="I27" i="33" s="1"/>
  <c r="J27" i="33" s="1"/>
  <c r="H28" i="33"/>
  <c r="I28" i="33" s="1"/>
  <c r="J28" i="33" s="1"/>
  <c r="H29" i="33"/>
  <c r="H30" i="33"/>
  <c r="H31" i="33"/>
  <c r="H33" i="33"/>
  <c r="I33" i="33" s="1"/>
  <c r="J33" i="33" s="1"/>
  <c r="H34" i="33"/>
  <c r="I34" i="33" s="1"/>
  <c r="J34" i="33" s="1"/>
  <c r="H35" i="33"/>
  <c r="H36" i="33"/>
  <c r="H37" i="33"/>
  <c r="H38" i="33"/>
  <c r="H39" i="33"/>
  <c r="I39" i="33" s="1"/>
  <c r="J39" i="33" s="1"/>
  <c r="H40" i="33"/>
  <c r="H42" i="33"/>
  <c r="I42" i="33" s="1"/>
  <c r="J42" i="33" s="1"/>
  <c r="H41" i="33"/>
  <c r="H43" i="33"/>
  <c r="H44" i="33"/>
  <c r="I44" i="33" s="1"/>
  <c r="J44" i="33" s="1"/>
  <c r="H45" i="33"/>
  <c r="H46" i="33"/>
  <c r="H47" i="33"/>
  <c r="H55" i="33"/>
  <c r="H50" i="33"/>
  <c r="H48" i="33"/>
  <c r="H52" i="33"/>
  <c r="H49" i="33"/>
  <c r="H51" i="33"/>
  <c r="H54" i="33"/>
  <c r="H53" i="33"/>
  <c r="H56" i="33"/>
  <c r="H57" i="33"/>
  <c r="H58" i="33"/>
  <c r="H4" i="33"/>
  <c r="H22" i="35" l="1"/>
  <c r="I22" i="35" s="1"/>
  <c r="K22" i="35" s="1"/>
  <c r="H16" i="35"/>
  <c r="I16" i="35" s="1"/>
  <c r="K16" i="35" s="1"/>
  <c r="H15" i="35"/>
  <c r="I15" i="35" s="1"/>
  <c r="K15" i="35" s="1"/>
  <c r="H14" i="35"/>
  <c r="I14" i="35" s="1"/>
  <c r="K14" i="35" s="1"/>
  <c r="H13" i="35"/>
  <c r="I13" i="35" s="1"/>
  <c r="K13" i="35" s="1"/>
  <c r="H12" i="35"/>
  <c r="I12" i="35" s="1"/>
  <c r="K12" i="35" s="1"/>
  <c r="H11" i="35"/>
  <c r="I11" i="35" s="1"/>
  <c r="K11" i="35" s="1"/>
  <c r="H10" i="35"/>
  <c r="I10" i="35" s="1"/>
  <c r="K10" i="35" s="1"/>
  <c r="H9" i="35"/>
  <c r="I9" i="35" s="1"/>
  <c r="K9" i="35" s="1"/>
  <c r="H3" i="35"/>
  <c r="I3" i="35" s="1"/>
  <c r="D60" i="33"/>
  <c r="I60" i="33" s="1"/>
  <c r="J60" i="33" s="1"/>
  <c r="D64" i="33"/>
  <c r="I64" i="33" s="1"/>
  <c r="J64" i="33" s="1"/>
  <c r="D58" i="33"/>
  <c r="I58" i="33" s="1"/>
  <c r="J58" i="33" s="1"/>
  <c r="D57" i="33"/>
  <c r="I57" i="33" s="1"/>
  <c r="J57" i="33" s="1"/>
  <c r="D56" i="33"/>
  <c r="I56" i="33" s="1"/>
  <c r="J56" i="33" s="1"/>
  <c r="D53" i="33"/>
  <c r="I53" i="33" s="1"/>
  <c r="J53" i="33" s="1"/>
  <c r="D54" i="33"/>
  <c r="I54" i="33" s="1"/>
  <c r="J54" i="33" s="1"/>
  <c r="D51" i="33"/>
  <c r="I51" i="33" s="1"/>
  <c r="J51" i="33" s="1"/>
  <c r="D49" i="33"/>
  <c r="I49" i="33" s="1"/>
  <c r="J49" i="33" s="1"/>
  <c r="D52" i="33"/>
  <c r="I52" i="33" s="1"/>
  <c r="J52" i="33" s="1"/>
  <c r="D48" i="33"/>
  <c r="I48" i="33" s="1"/>
  <c r="J48" i="33" s="1"/>
  <c r="D50" i="33"/>
  <c r="I50" i="33" s="1"/>
  <c r="J50" i="33" s="1"/>
  <c r="D55" i="33"/>
  <c r="I55" i="33" s="1"/>
  <c r="J55" i="33" s="1"/>
  <c r="D47" i="33"/>
  <c r="I47" i="33" s="1"/>
  <c r="J47" i="33" s="1"/>
  <c r="D46" i="33"/>
  <c r="I46" i="33" s="1"/>
  <c r="J46" i="33" s="1"/>
  <c r="D45" i="33"/>
  <c r="I45" i="33" s="1"/>
  <c r="J45" i="33" s="1"/>
  <c r="D43" i="33"/>
  <c r="I43" i="33" s="1"/>
  <c r="J43" i="33" s="1"/>
  <c r="D41" i="33"/>
  <c r="I41" i="33" s="1"/>
  <c r="J41" i="33" s="1"/>
  <c r="D40" i="33"/>
  <c r="I40" i="33" s="1"/>
  <c r="J40" i="33" s="1"/>
  <c r="D38" i="33"/>
  <c r="I38" i="33" s="1"/>
  <c r="J38" i="33" s="1"/>
  <c r="D37" i="33"/>
  <c r="I37" i="33" s="1"/>
  <c r="J37" i="33" s="1"/>
  <c r="D36" i="33"/>
  <c r="I36" i="33" s="1"/>
  <c r="J36" i="33" s="1"/>
  <c r="D35" i="33"/>
  <c r="I35" i="33" s="1"/>
  <c r="J35" i="33" s="1"/>
  <c r="D31" i="33"/>
  <c r="I31" i="33" s="1"/>
  <c r="J31" i="33" s="1"/>
  <c r="D30" i="33"/>
  <c r="I30" i="33" s="1"/>
  <c r="J30" i="33" s="1"/>
  <c r="D29" i="33"/>
  <c r="I29" i="33" s="1"/>
  <c r="J29" i="33" s="1"/>
  <c r="D26" i="33"/>
  <c r="I26" i="33" s="1"/>
  <c r="J26" i="33" s="1"/>
  <c r="D25" i="33"/>
  <c r="I25" i="33" s="1"/>
  <c r="J25" i="33" s="1"/>
  <c r="D23" i="33"/>
  <c r="I23" i="33" s="1"/>
  <c r="J23" i="33" s="1"/>
  <c r="D20" i="33"/>
  <c r="I20" i="33" s="1"/>
  <c r="J20" i="33" s="1"/>
  <c r="D18" i="33"/>
  <c r="I18" i="33" s="1"/>
  <c r="J18" i="33" s="1"/>
  <c r="D16" i="33"/>
  <c r="I16" i="33" s="1"/>
  <c r="J16" i="33" s="1"/>
  <c r="D13" i="33"/>
  <c r="I13" i="33" s="1"/>
  <c r="J13" i="33" s="1"/>
  <c r="D15" i="33"/>
  <c r="I15" i="33" s="1"/>
  <c r="J15" i="33" s="1"/>
  <c r="D14" i="33"/>
  <c r="I14" i="33" s="1"/>
  <c r="J14" i="33" s="1"/>
  <c r="D11" i="33"/>
  <c r="I11" i="33" s="1"/>
  <c r="J11" i="33" s="1"/>
  <c r="D12" i="33"/>
  <c r="I12" i="33" s="1"/>
  <c r="J12" i="33" s="1"/>
  <c r="D10" i="33"/>
  <c r="I10" i="33" s="1"/>
  <c r="J10" i="33" s="1"/>
  <c r="D8" i="33"/>
  <c r="I8" i="33" s="1"/>
  <c r="J8" i="33" s="1"/>
  <c r="D32" i="33"/>
  <c r="I32" i="33" s="1"/>
  <c r="J32" i="33" s="1"/>
  <c r="D7" i="33"/>
  <c r="I7" i="33" s="1"/>
  <c r="J7" i="33" s="1"/>
  <c r="D6" i="33"/>
  <c r="I6" i="33" s="1"/>
  <c r="J6" i="33" s="1"/>
  <c r="D5" i="33"/>
  <c r="I5" i="33" s="1"/>
  <c r="J5" i="33" s="1"/>
  <c r="I4" i="33"/>
  <c r="J4" i="33" s="1"/>
  <c r="H17" i="31"/>
  <c r="H16" i="31"/>
  <c r="H15" i="31"/>
  <c r="H14" i="31"/>
  <c r="H7" i="31"/>
  <c r="H6" i="31"/>
  <c r="H5" i="31"/>
  <c r="H4" i="31"/>
  <c r="H3" i="31"/>
  <c r="K17" i="35" l="1"/>
  <c r="K18" i="35" s="1"/>
  <c r="I14" i="31"/>
  <c r="J14" i="31" s="1"/>
  <c r="I15" i="31"/>
  <c r="J15" i="31" s="1"/>
  <c r="I16" i="31"/>
  <c r="J16" i="31" s="1"/>
  <c r="I17" i="31"/>
  <c r="J17" i="31" s="1"/>
  <c r="J66" i="33"/>
  <c r="J67" i="33" s="1"/>
  <c r="K3" i="35"/>
  <c r="K4" i="35" s="1"/>
  <c r="K5" i="35" s="1"/>
  <c r="I3" i="31"/>
  <c r="J3" i="31" s="1"/>
  <c r="I4" i="31"/>
  <c r="J4" i="31" s="1"/>
  <c r="I5" i="31"/>
  <c r="J5" i="31" s="1"/>
  <c r="I6" i="31"/>
  <c r="J6" i="31" s="1"/>
  <c r="I7" i="31"/>
  <c r="J7" i="31" s="1"/>
  <c r="J8" i="31" l="1"/>
  <c r="J18" i="31"/>
  <c r="K23" i="35"/>
  <c r="K24" i="35" s="1"/>
  <c r="D9" i="22" l="1"/>
  <c r="C9" i="22"/>
  <c r="B9" i="22"/>
  <c r="D8" i="22"/>
  <c r="C8" i="22"/>
  <c r="B8" i="22"/>
  <c r="D7" i="22"/>
  <c r="C7" i="22"/>
  <c r="B7" i="22"/>
  <c r="D6" i="22"/>
  <c r="C6" i="22"/>
  <c r="B6" i="22"/>
  <c r="D5" i="22"/>
  <c r="C5" i="22"/>
  <c r="B5" i="22"/>
  <c r="R34" i="18"/>
  <c r="Q34" i="18"/>
  <c r="P34" i="18"/>
  <c r="O34" i="18"/>
  <c r="N34" i="18"/>
  <c r="M34" i="18"/>
  <c r="L34" i="18"/>
  <c r="K34" i="18"/>
  <c r="J34" i="18"/>
  <c r="I34" i="18"/>
  <c r="H34" i="18"/>
  <c r="G34" i="18"/>
  <c r="F34" i="18"/>
  <c r="E34" i="18"/>
  <c r="D34" i="18"/>
  <c r="C34" i="18"/>
  <c r="R33" i="18"/>
  <c r="R35" i="18" s="1"/>
  <c r="Q33" i="18"/>
  <c r="Q35" i="18" s="1"/>
  <c r="P33" i="18"/>
  <c r="P35" i="18" s="1"/>
  <c r="O33" i="18"/>
  <c r="O35" i="18" s="1"/>
  <c r="N33" i="18"/>
  <c r="N35" i="18" s="1"/>
  <c r="M33" i="18"/>
  <c r="M35" i="18" s="1"/>
  <c r="L33" i="18"/>
  <c r="L35" i="18" s="1"/>
  <c r="K33" i="18"/>
  <c r="K35" i="18" s="1"/>
  <c r="J33" i="18"/>
  <c r="J35" i="18" s="1"/>
  <c r="I33" i="18"/>
  <c r="I35" i="18" s="1"/>
  <c r="H33" i="18"/>
  <c r="H35" i="18" s="1"/>
  <c r="G33" i="18"/>
  <c r="G35" i="18" s="1"/>
  <c r="F33" i="18"/>
  <c r="F35" i="18" s="1"/>
  <c r="E33" i="18"/>
  <c r="E35" i="18" s="1"/>
  <c r="D33" i="18"/>
  <c r="D35" i="18" s="1"/>
  <c r="C33" i="18"/>
  <c r="C35" i="18" s="1"/>
  <c r="J33" i="17"/>
  <c r="I33" i="17"/>
  <c r="H33" i="17"/>
  <c r="G33" i="17"/>
  <c r="F33" i="17"/>
  <c r="E33" i="17"/>
  <c r="D33" i="17"/>
  <c r="C33" i="17"/>
  <c r="J32" i="17"/>
  <c r="J34" i="17" s="1"/>
  <c r="I32" i="17"/>
  <c r="I34" i="17" s="1"/>
  <c r="H32" i="17"/>
  <c r="H34" i="17" s="1"/>
  <c r="G32" i="17"/>
  <c r="G34" i="17" s="1"/>
  <c r="F32" i="17"/>
  <c r="F34" i="17" s="1"/>
  <c r="E32" i="17"/>
  <c r="E34" i="17" s="1"/>
  <c r="D32" i="17"/>
  <c r="D34" i="17" s="1"/>
  <c r="C32" i="17"/>
  <c r="C34" i="17" s="1"/>
  <c r="E31" i="12"/>
  <c r="C31" i="12"/>
  <c r="E28" i="12"/>
  <c r="E27" i="12"/>
  <c r="E26" i="12"/>
  <c r="E21" i="12"/>
  <c r="E22" i="12" s="1"/>
  <c r="E20" i="12"/>
  <c r="E17" i="12"/>
  <c r="E30" i="12" s="1"/>
  <c r="E6" i="12"/>
  <c r="E5" i="12"/>
  <c r="F41" i="23"/>
  <c r="F40" i="23"/>
  <c r="F33" i="23"/>
  <c r="E29" i="12" s="1"/>
  <c r="F16" i="29"/>
  <c r="F15" i="29"/>
  <c r="F9" i="29"/>
  <c r="F8" i="29"/>
  <c r="D8" i="27"/>
  <c r="D7" i="27"/>
  <c r="D6" i="27"/>
  <c r="C6" i="27"/>
  <c r="D5" i="27"/>
  <c r="C5" i="27"/>
  <c r="D4" i="27"/>
  <c r="C4" i="27"/>
  <c r="C3" i="27"/>
  <c r="D2" i="27"/>
  <c r="C2" i="27"/>
  <c r="E6" i="25"/>
  <c r="B4" i="25"/>
  <c r="E5" i="25" s="1"/>
  <c r="D3" i="27" s="1"/>
  <c r="C153" i="24"/>
  <c r="C152" i="24"/>
  <c r="C151" i="24"/>
  <c r="C150" i="24"/>
  <c r="C149" i="24"/>
  <c r="C148" i="24"/>
  <c r="C147" i="24"/>
  <c r="C146" i="24"/>
  <c r="C145" i="24"/>
  <c r="C144" i="24"/>
  <c r="C143" i="24"/>
  <c r="C142" i="24"/>
  <c r="C141" i="24"/>
  <c r="C140" i="24"/>
  <c r="C139" i="24"/>
  <c r="C138" i="24"/>
  <c r="C137" i="24"/>
  <c r="C136" i="24"/>
  <c r="C135" i="24"/>
  <c r="C134" i="24"/>
  <c r="C133" i="24"/>
  <c r="C132" i="24"/>
  <c r="C121" i="24"/>
  <c r="C129" i="24" s="1"/>
  <c r="C114" i="24"/>
  <c r="C113" i="24"/>
  <c r="C112" i="24"/>
  <c r="C109" i="24"/>
  <c r="C72" i="24"/>
  <c r="C26" i="24"/>
  <c r="C12" i="24"/>
  <c r="C7" i="27" l="1"/>
  <c r="C115" i="24"/>
  <c r="C8" i="27"/>
  <c r="C154" i="24"/>
  <c r="D4" i="29"/>
  <c r="C2" i="28"/>
  <c r="D3" i="29"/>
  <c r="C3" i="28"/>
  <c r="C4" i="28"/>
  <c r="D5" i="29"/>
  <c r="C5" i="28"/>
  <c r="D6" i="29"/>
  <c r="C6" i="28"/>
  <c r="D7" i="29"/>
  <c r="D8" i="29"/>
  <c r="G8" i="29" s="1"/>
  <c r="D9" i="29"/>
  <c r="G9" i="29" s="1"/>
  <c r="D10" i="22"/>
  <c r="C8" i="28" l="1"/>
  <c r="C7" i="28"/>
  <c r="C9" i="28" l="1"/>
  <c r="D8" i="28"/>
  <c r="D11" i="29" l="1"/>
  <c r="D10" i="29"/>
  <c r="D12" i="29"/>
  <c r="D13" i="29"/>
  <c r="D14" i="29"/>
  <c r="D15" i="29"/>
  <c r="G15" i="29" s="1"/>
  <c r="D16" i="29"/>
  <c r="G16" i="29" s="1"/>
  <c r="D6" i="28"/>
  <c r="D5" i="28"/>
  <c r="D4" i="28"/>
  <c r="D3" i="28"/>
  <c r="D2" i="28"/>
  <c r="D7" i="28"/>
  <c r="D9" i="28" l="1"/>
  <c r="H9" i="29" l="1"/>
  <c r="I9" i="29" s="1"/>
  <c r="H3" i="29"/>
  <c r="I3" i="29" s="1"/>
  <c r="H8" i="29"/>
  <c r="I8" i="29" s="1"/>
  <c r="H7" i="29"/>
  <c r="I7" i="29" s="1"/>
  <c r="H4" i="29"/>
  <c r="I4" i="29" s="1"/>
  <c r="H5" i="29"/>
  <c r="I5" i="29" s="1"/>
  <c r="H6" i="29"/>
  <c r="I6" i="29" s="1"/>
  <c r="H11" i="29" l="1"/>
  <c r="I11" i="29" s="1"/>
  <c r="H12" i="29"/>
  <c r="I12" i="29" s="1"/>
  <c r="H13" i="29"/>
  <c r="I13" i="29" s="1"/>
  <c r="H14" i="29"/>
  <c r="I14" i="29" s="1"/>
  <c r="H15" i="29"/>
  <c r="I15" i="29" s="1"/>
  <c r="H16" i="29"/>
  <c r="I16" i="29" s="1"/>
  <c r="H10" i="29"/>
  <c r="I10" i="29" s="1"/>
</calcChain>
</file>

<file path=xl/sharedStrings.xml><?xml version="1.0" encoding="utf-8"?>
<sst xmlns="http://schemas.openxmlformats.org/spreadsheetml/2006/main" count="1007" uniqueCount="514">
  <si>
    <t>Servente</t>
  </si>
  <si>
    <t>Encarregado</t>
  </si>
  <si>
    <t>INFORMAÇÃO COENG - SEI 0864016</t>
  </si>
  <si>
    <t>CLASSIFICAÇÃO IN 05/2017</t>
  </si>
  <si>
    <t>ALMOXARIFADOS</t>
  </si>
  <si>
    <t>m²</t>
  </si>
  <si>
    <t>Depósito SEMAP SE </t>
  </si>
  <si>
    <t>Almoxarifados/galpões</t>
  </si>
  <si>
    <t>Arquivo CEOF SE </t>
  </si>
  <si>
    <t>Deposito coeng G1 </t>
  </si>
  <si>
    <t>Arquivo SPR G2 </t>
  </si>
  <si>
    <t>Arquivo SGP T</t>
  </si>
  <si>
    <t>Depósito SEPROC G2</t>
  </si>
  <si>
    <t>Arquivo SPR 1°  </t>
  </si>
  <si>
    <t>Depósito COENG G2</t>
  </si>
  <si>
    <t>Depósito G2</t>
  </si>
  <si>
    <t>TOTAL</t>
  </si>
  <si>
    <t>OUTRAS ÁREAS INTERNAS</t>
  </si>
  <si>
    <t>Lobby recepção</t>
  </si>
  <si>
    <t>Demais áreas internas</t>
  </si>
  <si>
    <t>Hall terreo</t>
  </si>
  <si>
    <t>Foyer SE</t>
  </si>
  <si>
    <t>Hall SE</t>
  </si>
  <si>
    <t>Hall de serviço SE</t>
  </si>
  <si>
    <t>Hall G1</t>
  </si>
  <si>
    <t>Hall G2</t>
  </si>
  <si>
    <t>Hall 1°</t>
  </si>
  <si>
    <t>Hall 2°</t>
  </si>
  <si>
    <t>Hall 3°</t>
  </si>
  <si>
    <t>Hall CO</t>
  </si>
  <si>
    <t>BANHEIROS</t>
  </si>
  <si>
    <t>Tipo de banheiro</t>
  </si>
  <si>
    <t>Coletivo CO</t>
  </si>
  <si>
    <t>Banheiros</t>
  </si>
  <si>
    <t>coletivo - 4 unidades</t>
  </si>
  <si>
    <t>Privativo CO02</t>
  </si>
  <si>
    <t>privativo</t>
  </si>
  <si>
    <t>Privativo CO03</t>
  </si>
  <si>
    <t>Coletico 3°</t>
  </si>
  <si>
    <t>Privativo 301</t>
  </si>
  <si>
    <t>Privativo 303</t>
  </si>
  <si>
    <t>Privativo 305</t>
  </si>
  <si>
    <t>Privativo 307</t>
  </si>
  <si>
    <t>Privativo 309</t>
  </si>
  <si>
    <t>Privativo 311</t>
  </si>
  <si>
    <t>Privativo 302</t>
  </si>
  <si>
    <t>Privativo 304</t>
  </si>
  <si>
    <t>Privativo 306</t>
  </si>
  <si>
    <t>Privativo 308</t>
  </si>
  <si>
    <t>Privativo 310</t>
  </si>
  <si>
    <t>Privativo 312</t>
  </si>
  <si>
    <t>Coletivo 2°</t>
  </si>
  <si>
    <t>Privativo 207</t>
  </si>
  <si>
    <t>Privativo SG</t>
  </si>
  <si>
    <t>Privativo chefe gab.</t>
  </si>
  <si>
    <t>Privativo secre. adj.</t>
  </si>
  <si>
    <t>Privativo Presi.</t>
  </si>
  <si>
    <t>Privativo Corregedor</t>
  </si>
  <si>
    <t>Coletivo 1°</t>
  </si>
  <si>
    <t>Privativo 101</t>
  </si>
  <si>
    <t>Privativo 102</t>
  </si>
  <si>
    <t>Privativo 105</t>
  </si>
  <si>
    <t>Privativo 112</t>
  </si>
  <si>
    <t>Coletivo T</t>
  </si>
  <si>
    <t>Privativo def. T</t>
  </si>
  <si>
    <t>Privativo recep.</t>
  </si>
  <si>
    <t>Privativo T04</t>
  </si>
  <si>
    <t>Privativo T10</t>
  </si>
  <si>
    <t>Privativo T09</t>
  </si>
  <si>
    <t>Privativo Lanchonete</t>
  </si>
  <si>
    <t>Coletivo SE</t>
  </si>
  <si>
    <t>coletivo - 2 unidades</t>
  </si>
  <si>
    <t>Vestiarios SE</t>
  </si>
  <si>
    <t>Privativo SE03</t>
  </si>
  <si>
    <t>Privativo SE02</t>
  </si>
  <si>
    <t>Privativo SE09</t>
  </si>
  <si>
    <t>Coletivo G1</t>
  </si>
  <si>
    <t>Guarita</t>
  </si>
  <si>
    <t>ÁREAS INTERNAS</t>
  </si>
  <si>
    <t>Lado norte CO</t>
  </si>
  <si>
    <t>Lado sul CO</t>
  </si>
  <si>
    <t>Corredor CO</t>
  </si>
  <si>
    <t>Escadas CO</t>
  </si>
  <si>
    <t>Lado norte 3°</t>
  </si>
  <si>
    <t>Lado sul 3°</t>
  </si>
  <si>
    <t>Corredor 3°</t>
  </si>
  <si>
    <t>Escadas 3°</t>
  </si>
  <si>
    <t>Lado norte 2°</t>
  </si>
  <si>
    <t>Lado sul 2°</t>
  </si>
  <si>
    <t>Corredor 2°</t>
  </si>
  <si>
    <t>Escadas 2°</t>
  </si>
  <si>
    <t>Lado norte 1°</t>
  </si>
  <si>
    <t>Lado sul 1°</t>
  </si>
  <si>
    <t>Corredor 1°</t>
  </si>
  <si>
    <t>Escadas 1°</t>
  </si>
  <si>
    <t>Lado norte T</t>
  </si>
  <si>
    <t>Lado sul T</t>
  </si>
  <si>
    <t>Corredor T</t>
  </si>
  <si>
    <t>Escadas T</t>
  </si>
  <si>
    <t xml:space="preserve">Auditório </t>
  </si>
  <si>
    <t>Plenário</t>
  </si>
  <si>
    <t>Lado norte SE</t>
  </si>
  <si>
    <t>Lado Sul SE</t>
  </si>
  <si>
    <t>Corredor SE</t>
  </si>
  <si>
    <t>Escadas SE</t>
  </si>
  <si>
    <t>Salas G1</t>
  </si>
  <si>
    <t>Escadas G1</t>
  </si>
  <si>
    <t>Vagas G1</t>
  </si>
  <si>
    <t>Varrição de passeios e arruamentos (inclui garagem coberta)</t>
  </si>
  <si>
    <t>Sala seguranças G2</t>
  </si>
  <si>
    <t>Escadas G2</t>
  </si>
  <si>
    <t>Vagas G2</t>
  </si>
  <si>
    <t>Guarita em frente a portaria</t>
  </si>
  <si>
    <t>Guarita estacionamento</t>
  </si>
  <si>
    <t>Face externa s/risco</t>
  </si>
  <si>
    <t>m</t>
  </si>
  <si>
    <t>m² (até 3m)</t>
  </si>
  <si>
    <t>Face externa sem exposição a risco</t>
  </si>
  <si>
    <t>Lado Leste T</t>
  </si>
  <si>
    <t>Lado Oeste T</t>
  </si>
  <si>
    <t>Área externa</t>
  </si>
  <si>
    <t>Estacionamento (grama)</t>
  </si>
  <si>
    <t>Obs: serviço de jardinagem</t>
  </si>
  <si>
    <t>Escultura</t>
  </si>
  <si>
    <t>Jardineiras</t>
  </si>
  <si>
    <t>Jardim</t>
  </si>
  <si>
    <t>Jardim entrada</t>
  </si>
  <si>
    <t>Jardim lateral plenário</t>
  </si>
  <si>
    <t>Jardim G2</t>
  </si>
  <si>
    <t>Pátio</t>
  </si>
  <si>
    <t>Pisos pavimentados adjacentes/contíguos às edificações</t>
  </si>
  <si>
    <t xml:space="preserve">Estacionamento </t>
  </si>
  <si>
    <t>Circulação veículos</t>
  </si>
  <si>
    <t>Ciruculação pedestres</t>
  </si>
  <si>
    <t>FACE INTERNA</t>
  </si>
  <si>
    <t>Face interna</t>
  </si>
  <si>
    <t>Lado oeste 1°</t>
  </si>
  <si>
    <t>Lado leste 1°</t>
  </si>
  <si>
    <t>Lado oeste 2°</t>
  </si>
  <si>
    <t>Lado leste 2°</t>
  </si>
  <si>
    <t>Lado oeste 3°</t>
  </si>
  <si>
    <t>Lado leste 3°</t>
  </si>
  <si>
    <t>Lado norte co</t>
  </si>
  <si>
    <t>Lado oeste co</t>
  </si>
  <si>
    <t>Lado sul co</t>
  </si>
  <si>
    <t>Lado leste co</t>
  </si>
  <si>
    <t>Lado oeste se</t>
  </si>
  <si>
    <t>Lado sul se</t>
  </si>
  <si>
    <t>Lado norte térreo</t>
  </si>
  <si>
    <t>Lado oeste térreo</t>
  </si>
  <si>
    <t>Lado sul térreo</t>
  </si>
  <si>
    <t>Lado leste térreo</t>
  </si>
  <si>
    <t>Quantidade</t>
  </si>
  <si>
    <t xml:space="preserve">Tempo médio diário para limpeza de 1 banheiro (min) - SEI 0864764 </t>
  </si>
  <si>
    <t>coletivo</t>
  </si>
  <si>
    <t>Tempo médio ponderado diário para limpeza de 1 banheiro (min)</t>
  </si>
  <si>
    <t>Média área banheiros</t>
  </si>
  <si>
    <t>Tipo de Área</t>
  </si>
  <si>
    <t>Área CNMP (m²)</t>
  </si>
  <si>
    <t>Áreas internas</t>
  </si>
  <si>
    <t>Áreas externas</t>
  </si>
  <si>
    <t>Esquadrias externas</t>
  </si>
  <si>
    <t>Quantidade serventes 
8h48/dia
Produtividade intermediária</t>
  </si>
  <si>
    <t>Quantidade encarregado
8h48/dia
Produtividade intermediária</t>
  </si>
  <si>
    <t>Produtividade intermediária - 8h48/dia</t>
  </si>
  <si>
    <t>Categoria profissional</t>
  </si>
  <si>
    <t>1-Produtividade
(1/m²)</t>
  </si>
  <si>
    <t>2-Frequência no mês (horas)</t>
  </si>
  <si>
    <t>3-Jornada de trabalho no mês (horas)</t>
  </si>
  <si>
    <t>4-Coeficiente ki</t>
  </si>
  <si>
    <t>5-Preço do homem-mês</t>
  </si>
  <si>
    <t>6-Subtotal (R$/m²)</t>
  </si>
  <si>
    <t>não se aplica</t>
  </si>
  <si>
    <r>
      <t>ENCARREGADO</t>
    </r>
    <r>
      <rPr>
        <sz val="14"/>
        <rFont val="Calibri Light"/>
        <family val="2"/>
      </rPr>
      <t> </t>
    </r>
  </si>
  <si>
    <t>Item</t>
  </si>
  <si>
    <t>Especificações</t>
  </si>
  <si>
    <t>DISTRIBUIÇÃO SEMESTRAL</t>
  </si>
  <si>
    <t>QTDE ANUAL (A)</t>
  </si>
  <si>
    <t>Preço 1</t>
  </si>
  <si>
    <t>Preço 2</t>
  </si>
  <si>
    <t>Preço 3</t>
  </si>
  <si>
    <t>Menor preço (B)</t>
  </si>
  <si>
    <t>Custo Anual (C=A*B)</t>
  </si>
  <si>
    <t>Custo Mensal (D=C/12)</t>
  </si>
  <si>
    <t>Terno em microfibra poliéster, cor preta, com costura reforçada e contendo a logomarca da contratada bordada em tamanho discreto</t>
  </si>
  <si>
    <t>Camisa social de manga curta, sem transparência, na cor cinza, contendo a logomarca da contratada bordada em tamanho discreto. Botão duplo, no caso de camisa feminina.</t>
  </si>
  <si>
    <t>Par de sapatos social na cor preta, antiderrapante e macio. Salto baixo, no caso de sapato feminino.</t>
  </si>
  <si>
    <t>Kit com 6 pares de meias, em poliamida, na cor preta</t>
  </si>
  <si>
    <t>Cinto de couro legítimo, na cor preta</t>
  </si>
  <si>
    <t>SERVENTE</t>
  </si>
  <si>
    <t>Agasalho para proteção contra o frio, fechado à frente. Sugestões de tecido: helanca soft ou royal; moletom misto (50% Poliéster / 50% Algodão).</t>
  </si>
  <si>
    <t>Calça comprida, com elástico e cordão para a cintura, fabricada em tecido leve, respirável e apropriado ao serviço de limpeza.</t>
  </si>
  <si>
    <t>Camisa em malha de manga curta, com a logomarca da empresa visível </t>
  </si>
  <si>
    <t>Camisa em malha de manga longa, com a logomarca da empresa visível </t>
  </si>
  <si>
    <t>TOTAL MENSAL GERAL</t>
  </si>
  <si>
    <t>TOTAL MENSAL POR COLABORADOR (ENCARREGADO E SERVENTE)</t>
  </si>
  <si>
    <t>DISTRIBUIÇÃO</t>
  </si>
  <si>
    <t>Água sanitária. Composição química: Hipoclorito de Sódio e Água, teor de Cloro Ativo: 2,0 a 2,5% p/p, PH: 11,5 a 13.</t>
  </si>
  <si>
    <t>Álcool - solução líquida alcoólica hidratada desinfetante, com concentração de 70% de álcool.</t>
  </si>
  <si>
    <t>35 litros por mês</t>
  </si>
  <si>
    <t xml:space="preserve">Balde plástico de 12 a 15 litros, com alça de ferro para transporte. </t>
  </si>
  <si>
    <t>Borrifador  manual, com gatilho, fabricado em material com plástico, com capacidade de 350 ml a 500 ml.</t>
  </si>
  <si>
    <t>15 unidades por mês</t>
  </si>
  <si>
    <t>Desentupidor manual de vaso sanitário, com bocal de borracha, com cabo de madeira ou PVC para facilitar o manuseio.</t>
  </si>
  <si>
    <t>7 unidades por ano</t>
  </si>
  <si>
    <t>Desentupidor manual sanfonado para uso em pias e ralos com entupimento; com bocal de borracha e cabo fabricado em material resistente.</t>
  </si>
  <si>
    <t>Desinfetante Hiperconcentrado para uso geral (limpeza de pisos, ladrilhos, azulejos e superfícies esmaltadas ou pintadas). Fragrância sugerida: floral ou cítrica. Produto concentrado para ser diluído.</t>
  </si>
  <si>
    <r>
      <t>Odorizador (aromatizador) de ambientes; concentrado. Produto sem diluição. Marca de referência: Mirax Air Odorizador De Ambiente Bamboo - Renko</t>
    </r>
    <r>
      <rPr>
        <b/>
        <sz val="10"/>
        <color rgb="FF000000"/>
        <rFont val="Calibri Light"/>
        <family val="2"/>
      </rPr>
      <t xml:space="preserve"> </t>
    </r>
  </si>
  <si>
    <t>Desodorizador de ambientes, tipo aerosol, com fragrância (preferência lavanda) frasco com 400ml</t>
  </si>
  <si>
    <t>8 unidades por mês</t>
  </si>
  <si>
    <t>Detergente limpador para ser utilizado em extratoras para limpeza de capetes e tapetes em geral. Produto concentrado para ser diluído e usado de acordo com a sujidade da área.</t>
  </si>
  <si>
    <t>Detergente líquido neutro para  limpeza de louças, talheres, panelas e demais utensílios de cozinha. Frasco de 500 ml.</t>
  </si>
  <si>
    <t>16 unidades por mês</t>
  </si>
  <si>
    <t>Detergente neutro hiper concentrado (sabão líquido); para lavar sujeiras e gorduras em todos os tipos de superfícies. Produto para ser diluído.</t>
  </si>
  <si>
    <t>Detergente multiuso, não espumante, com efeito desengordurante e desinfetante para ser usado em superfícies diversas, tais como pias, espelhos, cerâmicas e vidros.</t>
  </si>
  <si>
    <t>36 unidades por mês</t>
  </si>
  <si>
    <t>Disco preto para enceradeira 350mm </t>
  </si>
  <si>
    <t>6 unidades por mês</t>
  </si>
  <si>
    <t>Disco preto para enceradeira 510mm</t>
  </si>
  <si>
    <t>Disco escova de nylon para enceradeira 510mm</t>
  </si>
  <si>
    <t>2 unidades por mês</t>
  </si>
  <si>
    <t>Escova de mão oval em nylon, base plástica.</t>
  </si>
  <si>
    <t xml:space="preserve">Espanador eletrostático com cabo, para remoção de pós. </t>
  </si>
  <si>
    <t>12 unidades por ano</t>
  </si>
  <si>
    <t>Esponja de fibra sintética com abrasivo e espuma
de poliuretano, para limpeza geral. Dupla face.</t>
  </si>
  <si>
    <t>50 unidades por mês</t>
  </si>
  <si>
    <t>Espuma Limpadora Spray à Seco, frasco de 300 ml a 500 ml, para limpeza de tecidos ou vinil, estofados, carpetes, superfícies esmaltadas, lisas e polidas, pisos e cromados.</t>
  </si>
  <si>
    <t>3 unidades por ano</t>
  </si>
  <si>
    <t>Fibra (buchas) para LT (suporte limpa tudo) de limpeza pesada, cor verde</t>
  </si>
  <si>
    <t>Filtro para extratora profissional. Descrição: Filtro para aspiração de poliéster (uso para extratoras)</t>
  </si>
  <si>
    <t>6 unidades por ano</t>
  </si>
  <si>
    <t>Flanela branca, tamanho 39 x 59cm, para limpeza geral.</t>
  </si>
  <si>
    <t>Lã (esponja) de aço,pacote com 8 unidades, para limpeza leve de superfícies, sem riscar.</t>
  </si>
  <si>
    <t>Limpa pedras Pedrex - produto concentrado</t>
  </si>
  <si>
    <t>Limpa rejuntes (detergente desingrustante). Produto para ser diluído. Marca de referência: Limpa rejuntes - Start; Limpa rejuntes - Bucky</t>
  </si>
  <si>
    <t>Limpa vidros; produto concentrado próprio para desengordurar e limpar superfícies laváveis, tais como vidros, vitrines e espelhos; sem formação de espuma.</t>
  </si>
  <si>
    <r>
      <t>Lustra móveis cremoso, brilho seco e intenso, perfume de longa duração, com proteção contra manchas d’água, frasco com 500 ml</t>
    </r>
    <r>
      <rPr>
        <b/>
        <sz val="10"/>
        <color rgb="FF000000"/>
        <rFont val="Calibri Light"/>
        <family val="2"/>
      </rPr>
      <t xml:space="preserve"> </t>
    </r>
  </si>
  <si>
    <t>Luvas de látex natural , forrada, com acabamento antiderrapante e cano médio, nos tamanhos P,M e G – pacote com pares – cor amarela</t>
  </si>
  <si>
    <t>Luvas de látex natural, forrada, com acabamento antiderrapante e cano médio, nos tamanhos P,M e G – pacote com pares – cor azul</t>
  </si>
  <si>
    <t>Multiuso Flotador, para limpeza de óleos e gorduras, banheiros, pias, plásticos, esmaltados, grelhas e demais superfícies laváveis.</t>
  </si>
  <si>
    <r>
      <t>Óleo desengripante, para tirar autocolantes presos/adesivos sem fazer esforço; para limpar inox manchado.</t>
    </r>
    <r>
      <rPr>
        <b/>
        <sz val="10"/>
        <color rgb="FF000000"/>
        <rFont val="Calibri Light"/>
        <family val="2"/>
      </rPr>
      <t xml:space="preserve"> Referência: WD-40</t>
    </r>
    <r>
      <rPr>
        <b/>
        <vertAlign val="superscript"/>
        <sz val="10"/>
        <color rgb="FF000000"/>
        <rFont val="Calibri Light"/>
        <family val="2"/>
      </rPr>
      <t>R</t>
    </r>
  </si>
  <si>
    <t>Pá de lixo plástica, com cabo longo; para auxiliar no recolhimento de lixo ou limpezas em geral.</t>
  </si>
  <si>
    <t>8 unidades por ano</t>
  </si>
  <si>
    <t>Pano de Chão (saco branco/alvejado), 100% algodão, para limpeza de pisos; com acabamento reforçado na costura das laterais.</t>
  </si>
  <si>
    <t>40 unidades por mês</t>
  </si>
  <si>
    <t xml:space="preserve">Papel higiênico com folha dupla picotada  em rolos de 30 metros. Não deve esfarelar e deve ser macio e resistente. Fabricado em celulose natural. </t>
  </si>
  <si>
    <r>
      <t>Papel Higiênico, tipo "rolão",  cor branca, folha dupla picotada, fabricado em celulose natural (não reciclado), macio e resistente; para uso em banheiros coletivos.  Dimensões: 250 a 300 metros</t>
    </r>
    <r>
      <rPr>
        <b/>
        <sz val="10"/>
        <color theme="1"/>
        <rFont val="Calibri Light"/>
        <family val="2"/>
      </rPr>
      <t xml:space="preserve">. </t>
    </r>
  </si>
  <si>
    <r>
      <t>Papel toalha interfolhadas, duas dobras,  na cor branca, 100% celulose virgem (não reciclado), caixa com 1000 folhas.</t>
    </r>
    <r>
      <rPr>
        <b/>
        <sz val="10"/>
        <color rgb="FF000000"/>
        <rFont val="Calibri Light"/>
        <family val="2"/>
      </rPr>
      <t xml:space="preserve"> Deve ser macio, sem esfarelar, permitindo a secagem das mãos com duas ou três folhas, pelo menos.</t>
    </r>
    <r>
      <rPr>
        <sz val="10"/>
        <color rgb="FF000000"/>
        <rFont val="Calibri Light"/>
        <family val="2"/>
      </rPr>
      <t xml:space="preserve"> Dimensões: 21cm x 20cm</t>
    </r>
  </si>
  <si>
    <t>Pasta multiuso (pasta rosa). Ação desengordurante; para limpeza Pisos, Azulejos, Mármores e Granitos; para remoção de manchas e sujeiras pesadas localizadas. Embalagem com 500 gramas.</t>
  </si>
  <si>
    <t>24 unidades por ano</t>
  </si>
  <si>
    <t>Ralo para pia, fabricado em aço inox, com borda larga. Dimensões: 11,5 cm de diâmetro.</t>
  </si>
  <si>
    <t>Reservatório para sabonete líquido. (saboneteira); 800ml, com válvula dosadora. Marca de referência: Premisse velox.</t>
  </si>
  <si>
    <t>5 unidades por mês</t>
  </si>
  <si>
    <t>Rodo de PVC com borracha dupla, com cabo mínimo de 1,40 m. Dimensões: 40 cm de largura.</t>
  </si>
  <si>
    <t>4 unidades por ano</t>
  </si>
  <si>
    <t xml:space="preserve">Rodo de PVC  com borracha dupla, com cabo mínimo de 1,40 m. Dimensões:  50 cm de largura. </t>
  </si>
  <si>
    <t>Rodo de PVC, com borracha dupla, com cabo minimo de 1,40 m. Dimensões:   60 cm de largura.</t>
  </si>
  <si>
    <t>7 unidades por mês</t>
  </si>
  <si>
    <t>Rodo limpa vidros - dois em um., com cabo longo regulável. Marca de referência: Mop Rodo Limpa Vidros + cabo de 50 cm (aproximadamente) - Flash Limp; Rodo Limpa Vidros - Bralimpia + Cabo de 50 cm (aproximadamente).</t>
  </si>
  <si>
    <t xml:space="preserve">Sabão em barra neutro glicerinado. </t>
  </si>
  <si>
    <t xml:space="preserve">Sabão em pó para limpeza geral. </t>
  </si>
  <si>
    <t xml:space="preserve">Sabonete líquido; para limpeza facial e das mãos. Sugestão de fragrância: floral ou erva-doce. Marcas de referência: Sabonete Liquido Start Pro York 5L; Sabonete Liquido 5lt - Audax; Sabonete Erva Doce 5 L Deoline - Premisse  </t>
  </si>
  <si>
    <t>Saco plástico para coleta de lixo de 40 litros, na cor preta</t>
  </si>
  <si>
    <t>Saco plástico para coleta de  lixo de 40 litros, na cor azul</t>
  </si>
  <si>
    <t>Saco plástico  para coleta de lixo de 40 litros, na cor cinza</t>
  </si>
  <si>
    <t>Saco plástico para coleta de  lixo de 60 litros, na  cor preta</t>
  </si>
  <si>
    <t>Saco plástico para coelta de lixo de 60 litros, na cor azul</t>
  </si>
  <si>
    <t>Saco plástico para coleta de  lixo de 60 litros,  na cor cinza</t>
  </si>
  <si>
    <t>Saco plástico para coleta de lixo de 100 litros, na cor preta</t>
  </si>
  <si>
    <t>Saco plástico para coleta de lixo de 100 litros, na cor azul</t>
  </si>
  <si>
    <t>Saco Plástico para coleta de lixo, de 100 litros, na cor cinza</t>
  </si>
  <si>
    <t>Saponáceo cremoso (líquido), para tirar manchas de azulejos, rejuntes, superfícies e panelas de inox, polir metais como maçanetas e puxadores de portas. Embalagem de 300 ml</t>
  </si>
  <si>
    <t>24 unidades por mês</t>
  </si>
  <si>
    <t>Solução limpadora de inox em aerosol. Marcas de referência: Brilho Inox Domline; Brilha Inox Scotch Brite. Frasco com 300 ml.</t>
  </si>
  <si>
    <t>Suporte LT (limpa tudo) (Cabo + suporte). Dimensões aprox. do cabo: 1,30 a 1,55 mts.</t>
  </si>
  <si>
    <t>16 unidades por ano</t>
  </si>
  <si>
    <t>Suporte de disco com velcro, discão 350 mm. </t>
  </si>
  <si>
    <t>Suporte de disco com velcro, discão 510 mm. </t>
  </si>
  <si>
    <t>Vassoura de pelo sintético, com cabo. Dimensões: 40 cm de largura.</t>
  </si>
  <si>
    <t>Vassoura de pelo sintético, com cabo. Dimensões: 60 cm de largura</t>
  </si>
  <si>
    <t>Vassourão de pelo sintético, com cabo de aproximadamente 1,50 cm; para uso externo. 60 cm de largura.</t>
  </si>
  <si>
    <t>2 unidades por ano</t>
  </si>
  <si>
    <t>Vassoura para uso externo, com cerdas mais espessas e rígidas; para limpeza de calçadas de cimento ou rejunte de banheiros. Marcas de referência: Vassoura Varre Forte Condor V-52; Vassoura com Cabo Uso Externo Noviça Bettanin.</t>
  </si>
  <si>
    <t>Vassoura limpa teto, tipo bola, com cerdas duras, com cabo rosqueável de aproximadamente 2 a 3 metros.</t>
  </si>
  <si>
    <t>Vassoura (escova) em nylon para limpeza de vaso sanitário. Sem suporte.</t>
  </si>
  <si>
    <t>14 unidades por mês</t>
  </si>
  <si>
    <t>Tira Grude (removedor de colas e adesivos). Marca de referência: Tira grude - Quimatic, 40 ml.</t>
  </si>
  <si>
    <t>Unidade</t>
  </si>
  <si>
    <t>Unidade de Medida</t>
  </si>
  <si>
    <t>QTDE</t>
  </si>
  <si>
    <t>Menor preço</t>
  </si>
  <si>
    <t>Custo total</t>
  </si>
  <si>
    <t>Taxa anual de depreciação</t>
  </si>
  <si>
    <t>Custo Mensal</t>
  </si>
  <si>
    <t>Rádio comunicador: Descrição - Principais Funções: Boa área de cobertura (4 a 5 km); qualidade de áudio superior; visor luminoso, com controles eletrônicos; capacidade de armazenar até 150 nomes na memória; banda ISM 900 MHz (902-907 MHz); identificador de chamadas; capacidade para até 25 mensagens; bateria de íons de lítio com capacidade para até 19 horas de operação para cada ciclo da bateria; carregador rápido de mesa de 1 hora; indicador de bateria; pequeno, leve, com revestimento protetor e confortável de borracha; atende a especificações militares 810 C, D, E e F para impacto, vibração, umidade, poeira e temperaturas extremas. Modelo Referência: Radio Digital Motorola DTR 620 e DTR 720.</t>
  </si>
  <si>
    <t xml:space="preserve"> Unidade</t>
  </si>
  <si>
    <t>TOTAL MENSAL POR COLABORADOR (ENCARREGADO)</t>
  </si>
  <si>
    <t>Carrinho de limpeza funcional, com duas bolsas (sacos), aproximadamente 116cm X 57cm X 100 cm (CXLXA)</t>
  </si>
  <si>
    <t>Carrinho caixa tipo plataforma, todo telado, com meia porta (4 abas grandes, sendo uma móvel), cabo tubular em T e assoalho de chapa. Capacidade para até 800 Kg. Equipado com 4 rodas pneumáticas (com câmara 250” x 4”), sendo 2 montadas no eixo e 2 com freio. Pintura: epóxi. Material: Aço carbono e malha em tela. Altura x Largura (aproximada): 120 cm x 65 cm.</t>
  </si>
  <si>
    <t xml:space="preserve">Cesto funcional e organizador para produtos de limpeza. Marca de referência: Bralimpia </t>
  </si>
  <si>
    <t>Enceradeira industrial, disco 350mm, para uso geral (lavagem), motor 1hp, rotação 175 rpm, tensão 220V</t>
  </si>
  <si>
    <t>Enceradeira industrial, disco 510mm, para uso geral (lavagem), motor 1hp, rotação 175 rpm, tensão 220V</t>
  </si>
  <si>
    <t>Engate rápido para mangueira de ½”</t>
  </si>
  <si>
    <t>Engate rápido para torneira de ¾”</t>
  </si>
  <si>
    <t>Escada de alumínio tipo cavalet, com 3 (três) degraus.</t>
  </si>
  <si>
    <t>Escada de alumínio tipo cavalete, com 6 (seis) degraus.</t>
  </si>
  <si>
    <t>Extratora profissional: aspirador e extrator para sólidos e líquidos utilizado para limpeza de pisos, carpetes, estofados, pisos frios, sofás e cadeiras. Equipamento com duas funções empresas de limpeza. Equipamento com baixo nível de ruído. Tensão 220v, potência 1400W, reservatório 35 litros, vazão 0,6L/min, vácuo 24KPa/2400 mmH²o, tanque de solução 11 litros. Contento os seguintes itens:  Mangueira com terminal de engate, prolongador reto hidro, curva de acoplamento com gatilho, prolongador rígido curvo, balde detergente/água 11 litros, rodo para água, rodo com 1 bico limpeza de estofado, rodo para limpeza de carpetes e pisos frios, escova redonda, bico para canto, bocal para estofado. Modelo de referência:  Aspirador e Extrator para sólidos e líquidos EA135 da IPC SOTECO</t>
  </si>
  <si>
    <t>Lavadora modelo “tanquinho”, capacidade 10kg, semiautomático, tensão 220v, potência mínima de 350W</t>
  </si>
  <si>
    <t>Mangueira trançada reforçada ½” de 50 metros</t>
  </si>
  <si>
    <t>Lavadora de alta pressão de uso profissional, tensão 220v, potência 2.200W, pressão nominal de trabalho 1600lb, vazão 500L/h</t>
  </si>
  <si>
    <t>Placas de sinalizadora de piso molhado</t>
  </si>
  <si>
    <t>TOTAL MENSAL POR COLABORADOR (SERVENTE)</t>
  </si>
  <si>
    <t>ENCARREGADO E SERVENTE</t>
  </si>
  <si>
    <t>Armário de aço para vestiário, medindo aproximadamente 1,95 m de altura x 1,25m de largura, com 8 portas individuais (uma para cada profissional), com disposição para fechamento com chave ou segredo. Cada porta deve medir pelo menos 28cm de largura x 93cm de altura.</t>
  </si>
  <si>
    <t>A</t>
  </si>
  <si>
    <t>B</t>
  </si>
  <si>
    <t>C</t>
  </si>
  <si>
    <t>D</t>
  </si>
  <si>
    <t>E</t>
  </si>
  <si>
    <t>Benefícios Mensais e Diários</t>
  </si>
  <si>
    <t>Frequência</t>
  </si>
  <si>
    <t>Mensal</t>
  </si>
  <si>
    <t>F</t>
  </si>
  <si>
    <t>MÓDULO 1: COMPOSIÇÃO DA REMUNERAÇÃO</t>
  </si>
  <si>
    <t>Composição da Remuneração</t>
  </si>
  <si>
    <t>MÓDULO 2: ENCARGOS E BENEFÍCIOS ANUAIS, MENSAIS E DIÁRIOS</t>
  </si>
  <si>
    <t>Submódulo 2.1 - 13º (décimo terceiro) Salário e Adicional de Férias</t>
  </si>
  <si>
    <t>2.1</t>
  </si>
  <si>
    <t>13º Salário e Adicional de Férias</t>
  </si>
  <si>
    <t>%</t>
  </si>
  <si>
    <t>13º Salário</t>
  </si>
  <si>
    <t>Adicional de Férias</t>
  </si>
  <si>
    <t>Submódulo 2.2 - Encargos Previdencários (GPS), Fundo de Garantia por Tempo de Serviço (FGTS) e Outras Contribuições</t>
  </si>
  <si>
    <t>2.2</t>
  </si>
  <si>
    <t>Encargos Previdenciários (GPS), Fundo de Garantia por Tempo de Serviço (FGTS) e outras contribuições</t>
  </si>
  <si>
    <t>INSS</t>
  </si>
  <si>
    <t>Salário Educação</t>
  </si>
  <si>
    <t>Riscos Ambientas do Trabalho</t>
  </si>
  <si>
    <t>SESC</t>
  </si>
  <si>
    <t>SENAC</t>
  </si>
  <si>
    <t>SEBRAE</t>
  </si>
  <si>
    <t>G</t>
  </si>
  <si>
    <t>INCRA</t>
  </si>
  <si>
    <t>H</t>
  </si>
  <si>
    <t>FGTS</t>
  </si>
  <si>
    <t>Submódulo 2.3 - Benefícios Mensais e Diários</t>
  </si>
  <si>
    <t>2.3</t>
  </si>
  <si>
    <t>MÓDULO 3: PROVISÃO PARA RESCISÃO</t>
  </si>
  <si>
    <t>Provisão para Rescisão</t>
  </si>
  <si>
    <t>Aviso Prévio Indenizado</t>
  </si>
  <si>
    <t>Aviso Prévio Trabalhado</t>
  </si>
  <si>
    <t>Multa do FGTS sobre o Aviso Prévio Trabalhado</t>
  </si>
  <si>
    <t>MÓDULO 4: CUSTO DE REPOSIÇÃO DO PROFISSIONAL AUSENTE</t>
  </si>
  <si>
    <t>Submódulo 4.1 - Substituto nas Ausências Legais</t>
  </si>
  <si>
    <t>4.1</t>
  </si>
  <si>
    <t>Substituto nas Ausências Legais</t>
  </si>
  <si>
    <t xml:space="preserve">Substituto na Cobertura de Férias 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</si>
  <si>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</si>
  <si>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</si>
  <si>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</si>
  <si>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</si>
  <si>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4.2</t>
  </si>
  <si>
    <t>DADOS ESTATÍSTICOS</t>
  </si>
  <si>
    <t>Dias / Horas / Minutos</t>
  </si>
  <si>
    <t>Divisor de Horas (em horas)</t>
  </si>
  <si>
    <t>Dias na Semana</t>
  </si>
  <si>
    <t>Dias no Ano</t>
  </si>
  <si>
    <t>Média Anual de Dias Trabalhados no Mês</t>
  </si>
  <si>
    <t xml:space="preserve">Meses no Ano </t>
  </si>
  <si>
    <t>Meses no Semestre</t>
  </si>
  <si>
    <t>Hora Normal (em minutos)</t>
  </si>
  <si>
    <t>Carga Horária Semanal (em horas)</t>
  </si>
  <si>
    <t>Dias / %</t>
  </si>
  <si>
    <t>Desconto Remuneração Transporte</t>
  </si>
  <si>
    <t>Faxineiros demitidos sem justa causa / Total de desligamentos (em %)</t>
  </si>
  <si>
    <t>Empregados que recebem aviso prévio indenizado (em %)</t>
  </si>
  <si>
    <t>Multa do FGTS (em %)</t>
  </si>
  <si>
    <t>Empregados que recebem aviso prévio trabalhado (em %)</t>
  </si>
  <si>
    <t>Dias no mês</t>
  </si>
  <si>
    <t>Dias de Ausências Legais</t>
  </si>
  <si>
    <t>Dias de Licença-Paternidade</t>
  </si>
  <si>
    <t>Nascidos Vivos / População Feminina (em %)</t>
  </si>
  <si>
    <t>Participação Masculina nos Serviços de Limpeza (em %)</t>
  </si>
  <si>
    <t>Empregados afastados por acidente de trabalho (em %)</t>
  </si>
  <si>
    <t>Dias pagos pela empresa em acidentes de trabalho</t>
  </si>
  <si>
    <t>Dias de Licença-Maternidade</t>
  </si>
  <si>
    <t>Participação Feminina nos Serviços de Limpeza (em %)</t>
  </si>
  <si>
    <t>Submódulo 4.2 - Intrajornada</t>
  </si>
  <si>
    <t>Intrajornada</t>
  </si>
  <si>
    <t>Minutos / %</t>
  </si>
  <si>
    <t>Hora Extra (em %)</t>
  </si>
  <si>
    <t>Tempo de Intervalo para Refeição (em minutos)</t>
  </si>
  <si>
    <t>OBSERVAÇÃO</t>
  </si>
  <si>
    <t>Para mais informações, consulte o Referencial Técnico de Custos, constante da aba PUBLICAÇÕES, na página da Auditoria Interna do MPU na internet (www.auditoria.mpu.mp.br).</t>
  </si>
  <si>
    <t>ENCARGOS SOCIAIS E TRABALHISTAS</t>
  </si>
  <si>
    <t>Memória de Cálculo</t>
  </si>
  <si>
    <t>(1/12) x 100</t>
  </si>
  <si>
    <t>[(1/3)/12] x 100</t>
  </si>
  <si>
    <t>[(56,24%) x 5,55% x (1/12)] x 100</t>
  </si>
  <si>
    <t>[(56,24%) x 94,45% x (7/30)/12] x 100</t>
  </si>
  <si>
    <t>1,03% x 40% x 8,00% x 100</t>
  </si>
  <si>
    <t xml:space="preserve">(1/12) x 100 </t>
  </si>
  <si>
    <t>[(8/30)/12] x 100</t>
  </si>
  <si>
    <t>{[(20/30)/12] x 1,416% x 45,22%} x 100</t>
  </si>
  <si>
    <t>[(15/30)/12] x 0,44%} x 100</t>
  </si>
  <si>
    <t>{[(180/30)/12] x 1,416% x 54,78% x 36,80%} x 100</t>
  </si>
  <si>
    <t>Conforme produtividades previstas na Portaria nº 7, de 13 de abril de 2015.</t>
  </si>
  <si>
    <t>Atualizado em 06/11/2019</t>
  </si>
  <si>
    <t>UF</t>
  </si>
  <si>
    <t>A PARTIR DE</t>
  </si>
  <si>
    <t>ÁREA
INTERNA</t>
  </si>
  <si>
    <t>ÁREA
EXTERNA
(1200 M²)</t>
  </si>
  <si>
    <t>ESQUADRIA EXTERNA
(220 M²)</t>
  </si>
  <si>
    <t>FACHADA ENVIDRAÇADA
(110 M²)</t>
  </si>
  <si>
    <t>M²</t>
  </si>
  <si>
    <t>LIMITE MÍNIMO</t>
  </si>
  <si>
    <t>LIMITE MÁXIMO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</si>
  <si>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</si>
  <si>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</si>
  <si>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</si>
  <si>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</si>
  <si>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</si>
  <si>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</si>
  <si>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</si>
  <si>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</si>
  <si>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</si>
  <si>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</si>
  <si>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</si>
  <si>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</si>
  <si>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</si>
  <si>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</si>
  <si>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</si>
  <si>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</si>
  <si>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</si>
  <si>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</si>
  <si>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</si>
  <si>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</si>
  <si>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</si>
  <si>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</si>
  <si>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</si>
  <si>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</si>
  <si>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</si>
  <si>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</si>
  <si>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</si>
  <si>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MÉDIA</t>
  </si>
  <si>
    <t>MENOR VALOR</t>
  </si>
  <si>
    <t>MAIOR VALOR</t>
  </si>
  <si>
    <t>Conforme produtividades previstas na Portaria nº 213, de 25 de setembro de 2017.</t>
  </si>
  <si>
    <t>ÁREA INTERNA</t>
  </si>
  <si>
    <t>ÁREA EXTERNA</t>
  </si>
  <si>
    <t>ESQUADRIA EXTERNA</t>
  </si>
  <si>
    <t>FACHADA ENVIDRAÇADA</t>
  </si>
  <si>
    <t xml:space="preserve"> M²</t>
  </si>
  <si>
    <t xml:space="preserve"> MÍN.</t>
  </si>
  <si>
    <t xml:space="preserve"> MÁX.</t>
  </si>
  <si>
    <t>QTDE ESTIMADA DE SERVENTES</t>
  </si>
  <si>
    <t>TIPO DE ÁREA</t>
  </si>
  <si>
    <t>ÁREA (m²)</t>
  </si>
  <si>
    <t>PRODUTIVIDADE (1/m²)</t>
  </si>
  <si>
    <t>QTDE ESTIMADA</t>
  </si>
  <si>
    <t>(C)</t>
  </si>
  <si>
    <t>(D)</t>
  </si>
  <si>
    <t>E = (C / D)</t>
  </si>
  <si>
    <t>área interna</t>
  </si>
  <si>
    <t>área externa</t>
  </si>
  <si>
    <t>esquadria externa</t>
  </si>
  <si>
    <t>fachaçada envidraçada</t>
  </si>
  <si>
    <t>área médico hospitalar</t>
  </si>
  <si>
    <t>Filtro (saco) para aspirador de pó. Modelo de referência: Kit 3 Sacos de Aspirador de Pó - Modelos Gt20i (CSEBI) Electrolux.</t>
  </si>
  <si>
    <t>Aspirador de pó e água INOX 1800W de potência, duplo sistema de filtragem. Modelo de referência: Aspirador de Pó - Modelos Gt20i (CSEBI) Electrolux.</t>
  </si>
  <si>
    <t>1 filtro por mês</t>
  </si>
  <si>
    <t>Produtividade intermediária IN 05/2017 (m²)
Jornada de trabalho: 8h48/dia
(exceto banheiros)</t>
  </si>
  <si>
    <t>210 pacotes com 1000 folhas cada por mês</t>
  </si>
  <si>
    <t>5 galões com 5 litros cada por mês</t>
  </si>
  <si>
    <t>6 galões com 5 litros cada por ano</t>
  </si>
  <si>
    <t>4 galões com 5 litros cada por mês</t>
  </si>
  <si>
    <t>2 pacotes com 10 unidades cada por mês</t>
  </si>
  <si>
    <t>4 pacotes com 12 unidades cada por mês</t>
  </si>
  <si>
    <t>2 pacotes com 8 unidades cada por ano</t>
  </si>
  <si>
    <t>12 galões com 5 litros cada por mês</t>
  </si>
  <si>
    <t>1 galão com 5 litros cada por mês</t>
  </si>
  <si>
    <t>50 pacotes com 1 par cada por mês</t>
  </si>
  <si>
    <t>7 pacotes com 12 rolos/unidades cada por mês</t>
  </si>
  <si>
    <t>20 fardos com 8 unidades cada por mês</t>
  </si>
  <si>
    <t>6 pacotes com 5 unidades de 200 gramas cada por mês</t>
  </si>
  <si>
    <t>5 pacotes de 1kg cada por mês</t>
  </si>
  <si>
    <t>6 galões com 5 litros cada por mês</t>
  </si>
  <si>
    <t>4 fardos com 100 unidades cada por mês</t>
  </si>
  <si>
    <t>1 fardo com 100 unidades cada por mês</t>
  </si>
  <si>
    <t>3 fardos com 100 unidades cada por mês</t>
  </si>
  <si>
    <t>2 fardos com 100 unidades cada por mês</t>
  </si>
  <si>
    <t>5 fardos com 100 unidades cada por mês</t>
  </si>
  <si>
    <r>
      <t>Extensão elétrica de 50m, com plug macho e outro fêmea (10 A) em cada uma de suas pontas, cabo pp 2x 2,5mm</t>
    </r>
    <r>
      <rPr>
        <vertAlign val="superscript"/>
        <sz val="10"/>
        <color rgb="FF000000"/>
        <rFont val="Calibri Light"/>
        <family val="2"/>
      </rPr>
      <t>2</t>
    </r>
  </si>
  <si>
    <t>Unidade de medida</t>
  </si>
  <si>
    <r>
      <t xml:space="preserve">Borrifador  manual, com gatilho, fabricado em material com plástico, com capacidade de 350 ml a 500 ml.
</t>
    </r>
    <r>
      <rPr>
        <b/>
        <sz val="10"/>
        <color theme="1"/>
        <rFont val="Calibri Light"/>
        <family val="2"/>
      </rPr>
      <t>Obs: entrega única no início do contrato</t>
    </r>
  </si>
  <si>
    <t>(EPI) Botina profissional. Calçado confeccionado em couro vaqueta preta, forração interna, dorso acolchoado, fechamento em elástico lateral, planilha antibacteriana, biqueira termoplástica, solado de poliuretano injetado direto ao cabedal.</t>
  </si>
  <si>
    <t xml:space="preserve">(EPI) Máscara de proteção respiratória.  Sem válvula de respiração. Modelo PFF2 </t>
  </si>
  <si>
    <t>(EPI) Avental, modelo frontal, fabricado em PVC, com forro (acabamento interno); cor preta; confeccionado em material impermeável; ilhoses afixados; tirantes na cintura e nos ombros para ajustes; comprimento aproximado do avental:120 cm</t>
  </si>
  <si>
    <t>(EPI) Boné touca árabe com aba, velcro e elástico; com sistema de fechamento na frente. Aplicação: proteção do crânio e pescoço.</t>
  </si>
  <si>
    <t>(EPI) Bota PVC na cor preta, com solado amarelo.  Acabamento interno da bota: com forro</t>
  </si>
  <si>
    <t>(EPI) Capa para chuva em PVC laminado;longa; na cor amarela; com forro, com capuz e manga; fechamento frontal com botão.</t>
  </si>
  <si>
    <t>(EPI) Luvas de segurança, confeccionada em couro vaqueta na palma e no dorso, com reforço interno; cano curto.</t>
  </si>
  <si>
    <t>(EPI) Óculos de segurança constituído de armação e visor (lente de proteção). Tratamento antirrisco e antiembaçante (opcional), ampla proteção lateral e isento de partes metálicas.</t>
  </si>
  <si>
    <r>
      <t>(EPI) Protetor auricular (abafador), tipo concha. Modelos de referência: Protetor Auditivo 3M Tipo Abafador POMP MUFFLER 21db CA 14235;  Abafador de Som e Ruídos 26 dB Protetor Auditivo Tipo Concha Confort Plus - Camper.</t>
    </r>
    <r>
      <rPr>
        <b/>
        <sz val="10"/>
        <color rgb="FF000000"/>
        <rFont val="Calibri Light"/>
        <family val="2"/>
      </rPr>
      <t xml:space="preserve"> </t>
    </r>
  </si>
  <si>
    <t>Par</t>
  </si>
  <si>
    <t>3 unidades</t>
  </si>
  <si>
    <t>5 unidades</t>
  </si>
  <si>
    <t>3 pares</t>
  </si>
  <si>
    <t>1 kit com 6 pares</t>
  </si>
  <si>
    <t>2 unidades</t>
  </si>
  <si>
    <t>1 par</t>
  </si>
  <si>
    <t>4 unidades</t>
  </si>
  <si>
    <t>2 kits com 6 pares</t>
  </si>
  <si>
    <t>50 litros por mês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</si>
</sst>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5" formatCode="#,##0.0"/>
    <numFmt numFmtId="166" formatCode="dd/mm/yy;@"/>
    <numFmt numFmtId="167" formatCode="_-&quot;R$&quot;* #,##0.00_-;\-&quot;R$&quot;* #,##0.00_-;_-&quot;R$&quot;* &quot;-&quot;??_-;_-@_-"/>
    <numFmt numFmtId="168" formatCode="0.00000000000000"/>
  </numFmts>
  <fonts count="6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name val="Segoe UI Light"/>
      <family val="2"/>
    </font>
    <font>
      <sz val="8"/>
      <name val="Segoe UI Light"/>
      <family val="2"/>
    </font>
    <font>
      <b/>
      <sz val="11"/>
      <name val="Segoe UI Light"/>
      <family val="2"/>
    </font>
    <font>
      <b/>
      <sz val="11"/>
      <color theme="0"/>
      <name val="Segoe UI Light"/>
      <family val="2"/>
    </font>
    <font>
      <sz val="11"/>
      <color rgb="FFFF0000"/>
      <name val="Segoe UI Light"/>
      <family val="2"/>
    </font>
    <font>
      <b/>
      <sz val="16"/>
      <color theme="5" tint="-0.499984740745262"/>
      <name val="Segoe UI Light"/>
      <family val="2"/>
    </font>
    <font>
      <sz val="11"/>
      <color theme="5" tint="-0.249977111117893"/>
      <name val="Segoe UI Light"/>
      <family val="2"/>
    </font>
    <font>
      <b/>
      <sz val="14"/>
      <color theme="5" tint="-0.249977111117893"/>
      <name val="Segoe UI Light"/>
      <family val="2"/>
    </font>
    <font>
      <b/>
      <sz val="11"/>
      <color theme="5" tint="-0.499984740745262"/>
      <name val="Segoe UI Light"/>
      <family val="2"/>
    </font>
    <font>
      <b/>
      <sz val="14"/>
      <color theme="9" tint="-0.499984740745262"/>
      <name val="Segoe UI Light"/>
      <family val="2"/>
    </font>
    <font>
      <b/>
      <sz val="12"/>
      <color theme="9" tint="-0.499984740745262"/>
      <name val="Segoe UI Light"/>
      <family val="2"/>
    </font>
    <font>
      <sz val="11"/>
      <color theme="0"/>
      <name val="Segoe UI Light"/>
      <family val="2"/>
    </font>
    <font>
      <b/>
      <i/>
      <sz val="10"/>
      <name val="Segoe UI Light"/>
      <family val="2"/>
    </font>
    <font>
      <b/>
      <i/>
      <sz val="10"/>
      <color theme="9" tint="-0.499984740745262"/>
      <name val="Segoe UI Light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1"/>
      <color rgb="FF000000"/>
      <name val="Calibri"/>
    </font>
    <font>
      <sz val="11"/>
      <color rgb="FF000000"/>
      <name val="Calibri"/>
      <charset val="1"/>
    </font>
    <font>
      <b/>
      <sz val="11"/>
      <color theme="1"/>
      <name val="Calibri"/>
      <family val="2"/>
      <scheme val="minor"/>
    </font>
    <font>
      <sz val="11"/>
      <color rgb="FF444444"/>
      <name val="Calibri"/>
      <family val="2"/>
      <charset val="1"/>
    </font>
    <font>
      <sz val="12"/>
      <color rgb="FF000000"/>
      <name val="Times New Roman"/>
      <family val="1"/>
    </font>
    <font>
      <b/>
      <sz val="16"/>
      <color theme="1"/>
      <name val="Calibri"/>
      <family val="2"/>
      <scheme val="minor"/>
    </font>
    <font>
      <sz val="11"/>
      <color theme="1"/>
      <name val="Times New Roman"/>
      <family val="2"/>
    </font>
    <font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 Light"/>
      <family val="2"/>
    </font>
    <font>
      <sz val="14"/>
      <name val="Calibri Light"/>
      <family val="2"/>
    </font>
    <font>
      <sz val="10"/>
      <color theme="1"/>
      <name val="Calibri Light"/>
      <family val="2"/>
    </font>
    <font>
      <b/>
      <sz val="11"/>
      <color theme="1"/>
      <name val="Calibri Light"/>
      <family val="2"/>
    </font>
    <font>
      <sz val="10"/>
      <name val="Calibri Light"/>
      <family val="2"/>
    </font>
    <font>
      <b/>
      <sz val="11"/>
      <name val="Calibri Light"/>
      <family val="2"/>
    </font>
    <font>
      <b/>
      <sz val="10"/>
      <name val="Calibri Light"/>
      <family val="2"/>
    </font>
    <font>
      <sz val="11"/>
      <color theme="1"/>
      <name val="Calibri Light"/>
      <family val="2"/>
    </font>
    <font>
      <sz val="10"/>
      <color rgb="FF000000"/>
      <name val="Calibri Light"/>
      <family val="2"/>
    </font>
    <font>
      <b/>
      <sz val="10"/>
      <color rgb="FF000000"/>
      <name val="Calibri Light"/>
      <family val="2"/>
    </font>
    <font>
      <sz val="11"/>
      <color rgb="FF000000"/>
      <name val="Calibri Light"/>
      <family val="2"/>
    </font>
    <font>
      <b/>
      <vertAlign val="superscript"/>
      <sz val="10"/>
      <color rgb="FF000000"/>
      <name val="Calibri Light"/>
      <family val="2"/>
    </font>
    <font>
      <b/>
      <sz val="10"/>
      <color theme="1"/>
      <name val="Calibri Light"/>
      <family val="2"/>
    </font>
    <font>
      <sz val="11"/>
      <color rgb="FF000000"/>
      <name val="Liberation Sans"/>
    </font>
    <font>
      <sz val="10"/>
      <color rgb="FF000000"/>
      <name val="Calibri"/>
      <family val="2"/>
      <scheme val="minor"/>
    </font>
    <font>
      <b/>
      <sz val="11"/>
      <color rgb="FF000000"/>
      <name val="Calibri Light"/>
      <family val="2"/>
    </font>
    <font>
      <vertAlign val="superscript"/>
      <sz val="10"/>
      <color rgb="FF000000"/>
      <name val="Calibri Light"/>
      <family val="2"/>
    </font>
  </fonts>
  <fills count="4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D55816"/>
        <bgColor indexed="64"/>
      </patternFill>
    </fill>
    <fill>
      <patternFill patternType="solid">
        <fgColor rgb="FFD55816"/>
        <bgColor indexed="4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55816"/>
        <b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rgb="FF000000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rgb="FFD3D3D3"/>
      </right>
      <top style="thin">
        <color theme="0" tint="-4.9989318521683403E-2"/>
      </top>
      <bottom/>
      <diagonal/>
    </border>
    <border>
      <left style="thin">
        <color rgb="FFD3D3D3"/>
      </left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 style="thin">
        <color theme="0" tint="-4.9989318521683403E-2"/>
      </right>
      <top/>
      <bottom/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medium">
        <color rgb="FFE8E7E7"/>
      </left>
      <right style="medium">
        <color rgb="FFE8E7E7"/>
      </right>
      <top style="medium">
        <color rgb="FFE8E7E7"/>
      </top>
      <bottom style="medium">
        <color rgb="FFE8E7E7"/>
      </bottom>
      <diagonal/>
    </border>
    <border>
      <left/>
      <right style="medium">
        <color rgb="FFE8E7E7"/>
      </right>
      <top style="medium">
        <color rgb="FFE8E7E7"/>
      </top>
      <bottom style="medium">
        <color rgb="FFE8E7E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0" fontId="8" fillId="0" borderId="3" applyNumberFormat="0" applyFill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20" fillId="23" borderId="4" applyNumberForma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43" fontId="20" fillId="0" borderId="0" applyFont="0" applyFill="0" applyBorder="0" applyAlignment="0" applyProtection="0"/>
    <xf numFmtId="0" fontId="2" fillId="0" borderId="0"/>
    <xf numFmtId="0" fontId="44" fillId="0" borderId="0"/>
    <xf numFmtId="167" fontId="44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61" fillId="0" borderId="0"/>
    <xf numFmtId="9" fontId="20" fillId="0" borderId="0" applyFont="0" applyFill="0" applyBorder="0" applyAlignment="0" applyProtection="0"/>
  </cellStyleXfs>
  <cellXfs count="212">
    <xf numFmtId="0" fontId="0" fillId="0" borderId="0" xfId="0"/>
    <xf numFmtId="0" fontId="24" fillId="26" borderId="10" xfId="0" applyFont="1" applyFill="1" applyBorder="1" applyAlignment="1">
      <alignment horizontal="center" vertical="center"/>
    </xf>
    <xf numFmtId="0" fontId="24" fillId="26" borderId="10" xfId="0" applyFont="1" applyFill="1" applyBorder="1" applyAlignment="1">
      <alignment horizontal="center" vertical="center" wrapText="1"/>
    </xf>
    <xf numFmtId="0" fontId="23" fillId="24" borderId="0" xfId="0" applyFont="1" applyFill="1" applyAlignment="1">
      <alignment horizontal="left" vertical="center" wrapText="1"/>
    </xf>
    <xf numFmtId="0" fontId="21" fillId="24" borderId="0" xfId="0" applyFont="1" applyFill="1"/>
    <xf numFmtId="39" fontId="21" fillId="24" borderId="0" xfId="0" applyNumberFormat="1" applyFont="1" applyFill="1" applyAlignment="1">
      <alignment horizontal="right"/>
    </xf>
    <xf numFmtId="0" fontId="21" fillId="25" borderId="0" xfId="0" applyFont="1" applyFill="1"/>
    <xf numFmtId="39" fontId="23" fillId="24" borderId="0" xfId="0" applyNumberFormat="1" applyFont="1" applyFill="1" applyAlignment="1">
      <alignment horizontal="center" vertical="center" wrapText="1"/>
    </xf>
    <xf numFmtId="39" fontId="21" fillId="24" borderId="0" xfId="0" applyNumberFormat="1" applyFont="1" applyFill="1" applyAlignment="1">
      <alignment horizontal="center"/>
    </xf>
    <xf numFmtId="0" fontId="23" fillId="24" borderId="0" xfId="0" applyFont="1" applyFill="1" applyAlignment="1">
      <alignment horizontal="center" vertical="center" wrapText="1"/>
    </xf>
    <xf numFmtId="0" fontId="28" fillId="24" borderId="0" xfId="0" applyFont="1" applyFill="1" applyAlignment="1">
      <alignment horizontal="left" vertical="center"/>
    </xf>
    <xf numFmtId="0" fontId="27" fillId="24" borderId="0" xfId="0" applyFont="1" applyFill="1" applyAlignment="1">
      <alignment horizontal="left" vertical="center" wrapText="1"/>
    </xf>
    <xf numFmtId="39" fontId="27" fillId="24" borderId="0" xfId="0" applyNumberFormat="1" applyFont="1" applyFill="1" applyAlignment="1">
      <alignment horizontal="center" vertical="center" wrapText="1"/>
    </xf>
    <xf numFmtId="39" fontId="21" fillId="28" borderId="10" xfId="0" applyNumberFormat="1" applyFont="1" applyFill="1" applyBorder="1" applyAlignment="1">
      <alignment horizontal="right" vertical="center" wrapText="1"/>
    </xf>
    <xf numFmtId="2" fontId="21" fillId="28" borderId="10" xfId="0" applyNumberFormat="1" applyFont="1" applyFill="1" applyBorder="1" applyAlignment="1">
      <alignment horizontal="center" vertical="center"/>
    </xf>
    <xf numFmtId="2" fontId="24" fillId="26" borderId="10" xfId="0" applyNumberFormat="1" applyFont="1" applyFill="1" applyBorder="1" applyAlignment="1">
      <alignment horizontal="center" vertical="center"/>
    </xf>
    <xf numFmtId="2" fontId="21" fillId="28" borderId="10" xfId="0" applyNumberFormat="1" applyFont="1" applyFill="1" applyBorder="1" applyAlignment="1">
      <alignment horizontal="center" vertical="center" wrapText="1"/>
    </xf>
    <xf numFmtId="0" fontId="29" fillId="24" borderId="0" xfId="0" applyFont="1" applyFill="1" applyAlignment="1">
      <alignment horizontal="left"/>
    </xf>
    <xf numFmtId="39" fontId="21" fillId="29" borderId="10" xfId="0" applyNumberFormat="1" applyFont="1" applyFill="1" applyBorder="1" applyAlignment="1">
      <alignment horizontal="right" vertical="center" wrapText="1"/>
    </xf>
    <xf numFmtId="2" fontId="21" fillId="29" borderId="10" xfId="0" applyNumberFormat="1" applyFont="1" applyFill="1" applyBorder="1" applyAlignment="1">
      <alignment horizontal="center" vertical="center" wrapText="1"/>
    </xf>
    <xf numFmtId="3" fontId="21" fillId="28" borderId="10" xfId="0" applyNumberFormat="1" applyFont="1" applyFill="1" applyBorder="1" applyAlignment="1">
      <alignment horizontal="right" vertical="center" wrapText="1"/>
    </xf>
    <xf numFmtId="165" fontId="21" fillId="28" borderId="10" xfId="0" applyNumberFormat="1" applyFont="1" applyFill="1" applyBorder="1" applyAlignment="1">
      <alignment horizontal="right" vertical="center" wrapText="1"/>
    </xf>
    <xf numFmtId="3" fontId="21" fillId="29" borderId="10" xfId="0" applyNumberFormat="1" applyFont="1" applyFill="1" applyBorder="1" applyAlignment="1">
      <alignment horizontal="right" vertical="center" wrapText="1"/>
    </xf>
    <xf numFmtId="37" fontId="21" fillId="29" borderId="10" xfId="0" applyNumberFormat="1" applyFont="1" applyFill="1" applyBorder="1" applyAlignment="1">
      <alignment horizontal="right" vertical="center" wrapText="1"/>
    </xf>
    <xf numFmtId="37" fontId="21" fillId="28" borderId="10" xfId="0" applyNumberFormat="1" applyFont="1" applyFill="1" applyBorder="1" applyAlignment="1">
      <alignment horizontal="right" vertical="center" wrapText="1"/>
    </xf>
    <xf numFmtId="0" fontId="24" fillId="26" borderId="11" xfId="0" applyFont="1" applyFill="1" applyBorder="1" applyAlignment="1">
      <alignment horizontal="center" vertical="center"/>
    </xf>
    <xf numFmtId="0" fontId="32" fillId="26" borderId="10" xfId="0" applyFont="1" applyFill="1" applyBorder="1" applyAlignment="1">
      <alignment vertical="center"/>
    </xf>
    <xf numFmtId="4" fontId="21" fillId="29" borderId="10" xfId="0" applyNumberFormat="1" applyFont="1" applyFill="1" applyBorder="1" applyAlignment="1">
      <alignment horizontal="center" vertical="center"/>
    </xf>
    <xf numFmtId="2" fontId="21" fillId="29" borderId="10" xfId="0" applyNumberFormat="1" applyFont="1" applyFill="1" applyBorder="1" applyAlignment="1">
      <alignment horizontal="center" vertical="center"/>
    </xf>
    <xf numFmtId="4" fontId="21" fillId="28" borderId="10" xfId="0" applyNumberFormat="1" applyFont="1" applyFill="1" applyBorder="1" applyAlignment="1">
      <alignment horizontal="center" vertical="center"/>
    </xf>
    <xf numFmtId="0" fontId="21" fillId="0" borderId="0" xfId="0" applyFont="1"/>
    <xf numFmtId="0" fontId="33" fillId="0" borderId="0" xfId="0" applyFont="1" applyAlignment="1">
      <alignment horizontal="right"/>
    </xf>
    <xf numFmtId="0" fontId="24" fillId="30" borderId="24" xfId="0" applyFont="1" applyFill="1" applyBorder="1" applyAlignment="1">
      <alignment horizontal="center" vertical="center" wrapText="1"/>
    </xf>
    <xf numFmtId="14" fontId="24" fillId="26" borderId="10" xfId="0" applyNumberFormat="1" applyFont="1" applyFill="1" applyBorder="1" applyAlignment="1">
      <alignment horizontal="center" vertical="center"/>
    </xf>
    <xf numFmtId="4" fontId="21" fillId="31" borderId="10" xfId="0" applyNumberFormat="1" applyFont="1" applyFill="1" applyBorder="1" applyAlignment="1">
      <alignment horizontal="center" vertical="center" wrapText="1"/>
    </xf>
    <xf numFmtId="4" fontId="21" fillId="28" borderId="10" xfId="0" applyNumberFormat="1" applyFont="1" applyFill="1" applyBorder="1" applyAlignment="1">
      <alignment horizontal="center" vertical="center" wrapText="1"/>
    </xf>
    <xf numFmtId="0" fontId="31" fillId="24" borderId="0" xfId="0" applyFont="1" applyFill="1" applyAlignment="1">
      <alignment vertical="center"/>
    </xf>
    <xf numFmtId="4" fontId="24" fillId="26" borderId="10" xfId="0" applyNumberFormat="1" applyFont="1" applyFill="1" applyBorder="1" applyAlignment="1">
      <alignment horizontal="center" vertical="center"/>
    </xf>
    <xf numFmtId="166" fontId="24" fillId="26" borderId="10" xfId="0" applyNumberFormat="1" applyFont="1" applyFill="1" applyBorder="1" applyAlignment="1">
      <alignment horizontal="center" vertical="center"/>
    </xf>
    <xf numFmtId="0" fontId="24" fillId="27" borderId="10" xfId="0" applyFont="1" applyFill="1" applyBorder="1" applyAlignment="1">
      <alignment horizontal="center" vertical="center" wrapText="1"/>
    </xf>
    <xf numFmtId="0" fontId="24" fillId="30" borderId="21" xfId="0" applyFont="1" applyFill="1" applyBorder="1" applyAlignment="1">
      <alignment vertical="center" wrapText="1"/>
    </xf>
    <xf numFmtId="0" fontId="24" fillId="30" borderId="30" xfId="0" applyFont="1" applyFill="1" applyBorder="1" applyAlignment="1">
      <alignment vertical="center" wrapText="1"/>
    </xf>
    <xf numFmtId="0" fontId="24" fillId="30" borderId="12" xfId="0" applyFont="1" applyFill="1" applyBorder="1" applyAlignment="1">
      <alignment horizontal="right" vertical="center" wrapText="1"/>
    </xf>
    <xf numFmtId="0" fontId="24" fillId="30" borderId="11" xfId="0" applyFont="1" applyFill="1" applyBorder="1" applyAlignment="1">
      <alignment horizontal="left" vertical="center" wrapText="1"/>
    </xf>
    <xf numFmtId="0" fontId="24" fillId="30" borderId="13" xfId="0" applyFont="1" applyFill="1" applyBorder="1" applyAlignment="1">
      <alignment horizontal="left" vertical="center" wrapText="1"/>
    </xf>
    <xf numFmtId="3" fontId="24" fillId="27" borderId="10" xfId="43" applyNumberFormat="1" applyFont="1" applyFill="1" applyBorder="1" applyAlignment="1">
      <alignment horizontal="center" vertical="center"/>
    </xf>
    <xf numFmtId="0" fontId="21" fillId="28" borderId="10" xfId="0" applyFont="1" applyFill="1" applyBorder="1" applyAlignment="1">
      <alignment horizontal="left" vertical="center" wrapText="1"/>
    </xf>
    <xf numFmtId="0" fontId="22" fillId="25" borderId="0" xfId="0" applyFont="1" applyFill="1"/>
    <xf numFmtId="0" fontId="26" fillId="24" borderId="0" xfId="0" applyFont="1" applyFill="1"/>
    <xf numFmtId="0" fontId="25" fillId="24" borderId="0" xfId="0" applyFont="1" applyFill="1"/>
    <xf numFmtId="0" fontId="21" fillId="28" borderId="10" xfId="0" applyFont="1" applyFill="1" applyBorder="1" applyAlignment="1">
      <alignment horizontal="center"/>
    </xf>
    <xf numFmtId="0" fontId="21" fillId="24" borderId="0" xfId="0" applyFont="1" applyFill="1" applyAlignment="1">
      <alignment vertical="center" wrapText="1"/>
    </xf>
    <xf numFmtId="165" fontId="21" fillId="29" borderId="10" xfId="0" applyNumberFormat="1" applyFont="1" applyFill="1" applyBorder="1" applyAlignment="1">
      <alignment horizontal="center" vertical="center"/>
    </xf>
    <xf numFmtId="165" fontId="21" fillId="28" borderId="10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right"/>
    </xf>
    <xf numFmtId="8" fontId="36" fillId="32" borderId="31" xfId="0" applyNumberFormat="1" applyFont="1" applyFill="1" applyBorder="1" applyAlignment="1">
      <alignment horizontal="center" vertical="center" wrapText="1"/>
    </xf>
    <xf numFmtId="8" fontId="35" fillId="32" borderId="32" xfId="0" applyNumberFormat="1" applyFont="1" applyFill="1" applyBorder="1" applyAlignment="1">
      <alignment horizontal="center" vertical="center" wrapText="1"/>
    </xf>
    <xf numFmtId="8" fontId="36" fillId="32" borderId="32" xfId="0" applyNumberFormat="1" applyFont="1" applyFill="1" applyBorder="1" applyAlignment="1">
      <alignment horizontal="center" vertical="center" wrapText="1"/>
    </xf>
    <xf numFmtId="8" fontId="0" fillId="0" borderId="0" xfId="0" applyNumberFormat="1" applyAlignment="1">
      <alignment vertical="center"/>
    </xf>
    <xf numFmtId="8" fontId="37" fillId="0" borderId="0" xfId="0" applyNumberFormat="1" applyFont="1" applyAlignment="1">
      <alignment vertical="center"/>
    </xf>
    <xf numFmtId="4" fontId="37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8" fontId="0" fillId="0" borderId="0" xfId="0" applyNumberFormat="1" applyAlignment="1">
      <alignment horizontal="center" vertical="center"/>
    </xf>
    <xf numFmtId="8" fontId="37" fillId="0" borderId="0" xfId="0" applyNumberFormat="1" applyFont="1" applyAlignment="1">
      <alignment horizontal="center" vertical="center"/>
    </xf>
    <xf numFmtId="0" fontId="2" fillId="34" borderId="0" xfId="44" applyFill="1"/>
    <xf numFmtId="0" fontId="2" fillId="35" borderId="33" xfId="44" applyFill="1" applyBorder="1" applyAlignment="1">
      <alignment horizontal="center"/>
    </xf>
    <xf numFmtId="0" fontId="2" fillId="0" borderId="0" xfId="44"/>
    <xf numFmtId="0" fontId="38" fillId="0" borderId="0" xfId="44" applyFont="1"/>
    <xf numFmtId="0" fontId="38" fillId="0" borderId="0" xfId="44" applyFont="1" applyAlignment="1">
      <alignment horizontal="center"/>
    </xf>
    <xf numFmtId="0" fontId="39" fillId="0" borderId="0" xfId="44" applyFont="1"/>
    <xf numFmtId="0" fontId="2" fillId="0" borderId="0" xfId="44" applyAlignment="1">
      <alignment horizontal="center"/>
    </xf>
    <xf numFmtId="0" fontId="40" fillId="0" borderId="0" xfId="44" applyFont="1"/>
    <xf numFmtId="0" fontId="41" fillId="0" borderId="0" xfId="44" applyFont="1"/>
    <xf numFmtId="0" fontId="42" fillId="34" borderId="0" xfId="44" applyFont="1" applyFill="1"/>
    <xf numFmtId="0" fontId="2" fillId="36" borderId="0" xfId="44" applyFill="1" applyAlignment="1">
      <alignment horizontal="center"/>
    </xf>
    <xf numFmtId="0" fontId="2" fillId="0" borderId="0" xfId="44" applyAlignment="1">
      <alignment horizontal="center" vertical="center" wrapText="1"/>
    </xf>
    <xf numFmtId="0" fontId="40" fillId="38" borderId="33" xfId="44" applyFont="1" applyFill="1" applyBorder="1" applyAlignment="1">
      <alignment horizontal="center" vertical="center" wrapText="1"/>
    </xf>
    <xf numFmtId="0" fontId="2" fillId="0" borderId="33" xfId="44" applyBorder="1" applyAlignment="1">
      <alignment horizontal="center" vertical="center" wrapText="1"/>
    </xf>
    <xf numFmtId="0" fontId="40" fillId="38" borderId="33" xfId="44" applyFont="1" applyFill="1" applyBorder="1" applyAlignment="1">
      <alignment wrapText="1"/>
    </xf>
    <xf numFmtId="0" fontId="2" fillId="0" borderId="0" xfId="44" applyAlignment="1">
      <alignment wrapText="1"/>
    </xf>
    <xf numFmtId="0" fontId="46" fillId="38" borderId="33" xfId="44" applyFont="1" applyFill="1" applyBorder="1" applyAlignment="1">
      <alignment horizontal="center" vertical="center" wrapText="1"/>
    </xf>
    <xf numFmtId="0" fontId="47" fillId="38" borderId="33" xfId="44" applyFont="1" applyFill="1" applyBorder="1" applyAlignment="1">
      <alignment horizontal="center" vertical="center" wrapText="1"/>
    </xf>
    <xf numFmtId="0" fontId="0" fillId="0" borderId="33" xfId="45" applyFont="1" applyBorder="1" applyAlignment="1">
      <alignment horizontal="center" vertical="center" wrapText="1"/>
    </xf>
    <xf numFmtId="0" fontId="2" fillId="0" borderId="37" xfId="44" applyBorder="1" applyAlignment="1">
      <alignment horizontal="center" vertical="center" wrapText="1"/>
    </xf>
    <xf numFmtId="0" fontId="46" fillId="38" borderId="38" xfId="44" applyFont="1" applyFill="1" applyBorder="1" applyAlignment="1">
      <alignment horizontal="center" vertical="center" wrapText="1"/>
    </xf>
    <xf numFmtId="0" fontId="47" fillId="0" borderId="33" xfId="44" applyFont="1" applyBorder="1" applyAlignment="1">
      <alignment horizontal="center" vertical="center" wrapText="1"/>
    </xf>
    <xf numFmtId="0" fontId="45" fillId="0" borderId="0" xfId="47" applyFont="1" applyAlignment="1">
      <alignment horizontal="center" vertical="center" wrapText="1"/>
    </xf>
    <xf numFmtId="0" fontId="45" fillId="0" borderId="0" xfId="47" applyFont="1"/>
    <xf numFmtId="0" fontId="45" fillId="38" borderId="33" xfId="47" applyFont="1" applyFill="1" applyBorder="1" applyAlignment="1">
      <alignment horizontal="center" vertical="center" wrapText="1"/>
    </xf>
    <xf numFmtId="168" fontId="45" fillId="38" borderId="33" xfId="45" applyNumberFormat="1" applyFont="1" applyFill="1" applyBorder="1" applyAlignment="1">
      <alignment horizontal="center" vertical="center" wrapText="1"/>
    </xf>
    <xf numFmtId="0" fontId="45" fillId="38" borderId="33" xfId="45" applyFont="1" applyFill="1" applyBorder="1" applyAlignment="1">
      <alignment horizontal="center" vertical="center" wrapText="1"/>
    </xf>
    <xf numFmtId="0" fontId="45" fillId="0" borderId="33" xfId="47" applyFont="1" applyBorder="1" applyAlignment="1">
      <alignment horizontal="center" vertical="center" wrapText="1"/>
    </xf>
    <xf numFmtId="44" fontId="45" fillId="0" borderId="33" xfId="48" applyFont="1" applyBorder="1" applyAlignment="1">
      <alignment horizontal="center" vertical="center" wrapText="1"/>
    </xf>
    <xf numFmtId="0" fontId="45" fillId="0" borderId="33" xfId="47" applyFont="1" applyBorder="1" applyAlignment="1">
      <alignment horizontal="center" vertical="center"/>
    </xf>
    <xf numFmtId="0" fontId="50" fillId="0" borderId="0" xfId="51" applyFont="1"/>
    <xf numFmtId="0" fontId="51" fillId="38" borderId="33" xfId="51" applyFont="1" applyFill="1" applyBorder="1" applyAlignment="1">
      <alignment horizontal="center" vertical="center" wrapText="1"/>
    </xf>
    <xf numFmtId="0" fontId="52" fillId="0" borderId="33" xfId="51" applyFont="1" applyBorder="1" applyAlignment="1">
      <alignment horizontal="center" vertical="center" wrapText="1"/>
    </xf>
    <xf numFmtId="0" fontId="52" fillId="0" borderId="33" xfId="51" applyFont="1" applyBorder="1" applyAlignment="1">
      <alignment horizontal="left" vertical="center" wrapText="1"/>
    </xf>
    <xf numFmtId="0" fontId="54" fillId="0" borderId="0" xfId="51" applyFont="1" applyAlignment="1">
      <alignment horizontal="right" vertical="center" wrapText="1"/>
    </xf>
    <xf numFmtId="8" fontId="54" fillId="0" borderId="0" xfId="51" applyNumberFormat="1" applyFont="1" applyAlignment="1">
      <alignment horizontal="center" vertical="center"/>
    </xf>
    <xf numFmtId="0" fontId="55" fillId="0" borderId="0" xfId="51" applyFont="1"/>
    <xf numFmtId="0" fontId="50" fillId="0" borderId="33" xfId="51" applyFont="1" applyBorder="1" applyAlignment="1">
      <alignment horizontal="center" vertical="center" wrapText="1"/>
    </xf>
    <xf numFmtId="0" fontId="50" fillId="0" borderId="33" xfId="51" applyFont="1" applyBorder="1" applyAlignment="1">
      <alignment horizontal="left" vertical="center" wrapText="1"/>
    </xf>
    <xf numFmtId="0" fontId="56" fillId="0" borderId="33" xfId="51" applyFont="1" applyBorder="1" applyAlignment="1">
      <alignment horizontal="left" vertical="center" wrapText="1"/>
    </xf>
    <xf numFmtId="0" fontId="51" fillId="41" borderId="33" xfId="51" applyFont="1" applyFill="1" applyBorder="1" applyAlignment="1">
      <alignment horizontal="center" vertical="center" wrapText="1"/>
    </xf>
    <xf numFmtId="0" fontId="52" fillId="0" borderId="0" xfId="51" applyFont="1"/>
    <xf numFmtId="0" fontId="1" fillId="0" borderId="0" xfId="51"/>
    <xf numFmtId="0" fontId="56" fillId="0" borderId="33" xfId="53" applyFont="1" applyBorder="1" applyAlignment="1">
      <alignment horizontal="left" vertical="center" wrapText="1"/>
    </xf>
    <xf numFmtId="0" fontId="56" fillId="0" borderId="33" xfId="53" applyFont="1" applyBorder="1" applyAlignment="1">
      <alignment horizontal="center" vertical="center" wrapText="1"/>
    </xf>
    <xf numFmtId="0" fontId="56" fillId="0" borderId="33" xfId="53" applyFont="1" applyBorder="1" applyAlignment="1">
      <alignment horizontal="center" vertical="center"/>
    </xf>
    <xf numFmtId="0" fontId="56" fillId="0" borderId="0" xfId="53" applyFont="1"/>
    <xf numFmtId="0" fontId="58" fillId="0" borderId="0" xfId="53" applyFont="1"/>
    <xf numFmtId="9" fontId="56" fillId="0" borderId="33" xfId="54" applyFont="1" applyBorder="1" applyAlignment="1">
      <alignment horizontal="center" vertical="center"/>
    </xf>
    <xf numFmtId="44" fontId="50" fillId="0" borderId="33" xfId="50" applyFont="1" applyBorder="1" applyAlignment="1">
      <alignment horizontal="center" vertical="center"/>
    </xf>
    <xf numFmtId="44" fontId="52" fillId="0" borderId="33" xfId="50" applyFont="1" applyBorder="1" applyAlignment="1">
      <alignment horizontal="center" vertical="center"/>
    </xf>
    <xf numFmtId="44" fontId="56" fillId="0" borderId="33" xfId="50" applyFont="1" applyBorder="1" applyAlignment="1">
      <alignment horizontal="center" vertical="center"/>
    </xf>
    <xf numFmtId="44" fontId="50" fillId="0" borderId="33" xfId="50" applyFont="1" applyBorder="1" applyAlignment="1">
      <alignment horizontal="center" vertical="center" indent="1"/>
    </xf>
    <xf numFmtId="44" fontId="63" fillId="0" borderId="33" xfId="50" applyFont="1" applyFill="1" applyBorder="1" applyAlignment="1">
      <alignment horizontal="center" vertical="center" wrapText="1"/>
    </xf>
    <xf numFmtId="44" fontId="56" fillId="0" borderId="33" xfId="50" applyFont="1" applyFill="1" applyBorder="1" applyAlignment="1">
      <alignment horizontal="center" vertical="center"/>
    </xf>
    <xf numFmtId="44" fontId="62" fillId="0" borderId="33" xfId="50" applyFont="1" applyBorder="1" applyAlignment="1">
      <alignment horizontal="center" vertical="center"/>
    </xf>
    <xf numFmtId="44" fontId="63" fillId="0" borderId="36" xfId="50" applyFont="1" applyBorder="1" applyAlignment="1">
      <alignment horizontal="center" vertical="center" wrapText="1"/>
    </xf>
    <xf numFmtId="44" fontId="63" fillId="0" borderId="36" xfId="50" applyFont="1" applyFill="1" applyBorder="1" applyAlignment="1">
      <alignment horizontal="center" vertical="center" wrapText="1"/>
    </xf>
    <xf numFmtId="44" fontId="50" fillId="0" borderId="33" xfId="50" applyFont="1" applyFill="1" applyBorder="1" applyAlignment="1">
      <alignment horizontal="center" vertical="center"/>
    </xf>
    <xf numFmtId="44" fontId="53" fillId="0" borderId="33" xfId="50" applyFont="1" applyBorder="1" applyAlignment="1">
      <alignment horizontal="center" vertical="center"/>
    </xf>
    <xf numFmtId="0" fontId="2" fillId="33" borderId="33" xfId="44" applyFill="1" applyBorder="1" applyAlignment="1">
      <alignment horizontal="center"/>
    </xf>
    <xf numFmtId="0" fontId="40" fillId="38" borderId="34" xfId="44" applyFont="1" applyFill="1" applyBorder="1" applyAlignment="1">
      <alignment horizontal="right" wrapText="1"/>
    </xf>
    <xf numFmtId="0" fontId="40" fillId="38" borderId="35" xfId="44" applyFont="1" applyFill="1" applyBorder="1" applyAlignment="1">
      <alignment horizontal="right" wrapText="1"/>
    </xf>
    <xf numFmtId="0" fontId="40" fillId="38" borderId="36" xfId="44" applyFont="1" applyFill="1" applyBorder="1" applyAlignment="1">
      <alignment horizontal="right" wrapText="1"/>
    </xf>
    <xf numFmtId="0" fontId="43" fillId="37" borderId="33" xfId="44" applyFont="1" applyFill="1" applyBorder="1" applyAlignment="1">
      <alignment horizontal="center" vertical="top" wrapText="1"/>
    </xf>
    <xf numFmtId="0" fontId="40" fillId="38" borderId="33" xfId="44" applyFont="1" applyFill="1" applyBorder="1" applyAlignment="1">
      <alignment horizontal="center" vertical="center" wrapText="1"/>
    </xf>
    <xf numFmtId="0" fontId="40" fillId="0" borderId="33" xfId="44" applyFont="1" applyBorder="1" applyAlignment="1">
      <alignment horizontal="center" vertical="center" wrapText="1"/>
    </xf>
    <xf numFmtId="0" fontId="46" fillId="38" borderId="33" xfId="44" applyFont="1" applyFill="1" applyBorder="1" applyAlignment="1">
      <alignment horizontal="center" vertical="center" wrapText="1"/>
    </xf>
    <xf numFmtId="0" fontId="40" fillId="39" borderId="33" xfId="45" applyFont="1" applyFill="1" applyBorder="1" applyAlignment="1">
      <alignment horizontal="center" vertical="center" wrapText="1"/>
    </xf>
    <xf numFmtId="0" fontId="40" fillId="40" borderId="33" xfId="45" applyFont="1" applyFill="1" applyBorder="1" applyAlignment="1">
      <alignment horizontal="center" vertical="center" wrapText="1"/>
    </xf>
    <xf numFmtId="0" fontId="40" fillId="28" borderId="33" xfId="45" applyFont="1" applyFill="1" applyBorder="1" applyAlignment="1">
      <alignment horizontal="center" vertical="center" wrapText="1"/>
    </xf>
    <xf numFmtId="0" fontId="47" fillId="38" borderId="34" xfId="44" applyFont="1" applyFill="1" applyBorder="1" applyAlignment="1">
      <alignment horizontal="center" vertical="center" wrapText="1"/>
    </xf>
    <xf numFmtId="0" fontId="47" fillId="38" borderId="36" xfId="44" applyFont="1" applyFill="1" applyBorder="1" applyAlignment="1">
      <alignment horizontal="center" vertical="center" wrapText="1"/>
    </xf>
    <xf numFmtId="0" fontId="45" fillId="0" borderId="33" xfId="47" applyFont="1" applyBorder="1" applyAlignment="1">
      <alignment horizontal="center" vertical="center" wrapText="1"/>
    </xf>
    <xf numFmtId="0" fontId="47" fillId="41" borderId="33" xfId="44" applyFont="1" applyFill="1" applyBorder="1" applyAlignment="1">
      <alignment horizontal="center" vertical="center" wrapText="1"/>
    </xf>
    <xf numFmtId="0" fontId="48" fillId="42" borderId="34" xfId="51" applyFont="1" applyFill="1" applyBorder="1" applyAlignment="1">
      <alignment horizontal="center" vertical="center" wrapText="1"/>
    </xf>
    <xf numFmtId="0" fontId="48" fillId="42" borderId="35" xfId="51" applyFont="1" applyFill="1" applyBorder="1" applyAlignment="1">
      <alignment horizontal="center" vertical="center" wrapText="1"/>
    </xf>
    <xf numFmtId="0" fontId="48" fillId="42" borderId="36" xfId="51" applyFont="1" applyFill="1" applyBorder="1" applyAlignment="1">
      <alignment horizontal="center" vertical="center" wrapText="1"/>
    </xf>
    <xf numFmtId="0" fontId="53" fillId="43" borderId="34" xfId="51" applyFont="1" applyFill="1" applyBorder="1" applyAlignment="1">
      <alignment horizontal="right" vertical="center" wrapText="1"/>
    </xf>
    <xf numFmtId="0" fontId="53" fillId="43" borderId="35" xfId="51" applyFont="1" applyFill="1" applyBorder="1" applyAlignment="1">
      <alignment horizontal="right" vertical="center" wrapText="1"/>
    </xf>
    <xf numFmtId="0" fontId="53" fillId="43" borderId="36" xfId="51" applyFont="1" applyFill="1" applyBorder="1" applyAlignment="1">
      <alignment horizontal="right" vertical="center" wrapText="1"/>
    </xf>
    <xf numFmtId="0" fontId="53" fillId="43" borderId="33" xfId="51" applyFont="1" applyFill="1" applyBorder="1" applyAlignment="1">
      <alignment horizontal="right" vertical="center" wrapText="1"/>
    </xf>
    <xf numFmtId="0" fontId="53" fillId="38" borderId="33" xfId="51" applyFont="1" applyFill="1" applyBorder="1" applyAlignment="1">
      <alignment horizontal="right" vertical="center"/>
    </xf>
    <xf numFmtId="0" fontId="48" fillId="42" borderId="33" xfId="51" applyFont="1" applyFill="1" applyBorder="1" applyAlignment="1">
      <alignment horizontal="center" vertical="center" wrapText="1"/>
    </xf>
    <xf numFmtId="0" fontId="53" fillId="38" borderId="34" xfId="51" applyFont="1" applyFill="1" applyBorder="1" applyAlignment="1">
      <alignment horizontal="right" vertical="center"/>
    </xf>
    <xf numFmtId="0" fontId="53" fillId="38" borderId="35" xfId="51" applyFont="1" applyFill="1" applyBorder="1" applyAlignment="1">
      <alignment horizontal="right" vertical="center"/>
    </xf>
    <xf numFmtId="0" fontId="53" fillId="38" borderId="36" xfId="51" applyFont="1" applyFill="1" applyBorder="1" applyAlignment="1">
      <alignment horizontal="right" vertical="center"/>
    </xf>
    <xf numFmtId="0" fontId="24" fillId="26" borderId="12" xfId="0" applyFont="1" applyFill="1" applyBorder="1" applyAlignment="1">
      <alignment horizontal="left" vertical="center"/>
    </xf>
    <xf numFmtId="0" fontId="24" fillId="26" borderId="13" xfId="0" applyFont="1" applyFill="1" applyBorder="1" applyAlignment="1">
      <alignment horizontal="left" vertical="center"/>
    </xf>
    <xf numFmtId="0" fontId="21" fillId="28" borderId="12" xfId="0" applyFont="1" applyFill="1" applyBorder="1" applyAlignment="1">
      <alignment horizontal="left" vertical="center" wrapText="1"/>
    </xf>
    <xf numFmtId="0" fontId="21" fillId="28" borderId="13" xfId="0" applyFont="1" applyFill="1" applyBorder="1" applyAlignment="1">
      <alignment horizontal="left" vertical="center" wrapText="1"/>
    </xf>
    <xf numFmtId="0" fontId="21" fillId="28" borderId="11" xfId="0" applyFont="1" applyFill="1" applyBorder="1" applyAlignment="1">
      <alignment horizontal="left" vertical="center" wrapText="1"/>
    </xf>
    <xf numFmtId="39" fontId="21" fillId="28" borderId="12" xfId="0" applyNumberFormat="1" applyFont="1" applyFill="1" applyBorder="1" applyAlignment="1">
      <alignment horizontal="left" vertical="center" wrapText="1"/>
    </xf>
    <xf numFmtId="39" fontId="21" fillId="28" borderId="13" xfId="0" applyNumberFormat="1" applyFont="1" applyFill="1" applyBorder="1" applyAlignment="1">
      <alignment horizontal="left" vertical="center" wrapText="1"/>
    </xf>
    <xf numFmtId="39" fontId="21" fillId="28" borderId="11" xfId="0" applyNumberFormat="1" applyFont="1" applyFill="1" applyBorder="1" applyAlignment="1">
      <alignment horizontal="left" vertical="center" wrapText="1"/>
    </xf>
    <xf numFmtId="0" fontId="24" fillId="27" borderId="10" xfId="0" applyFont="1" applyFill="1" applyBorder="1" applyAlignment="1">
      <alignment horizontal="left" vertical="center" wrapText="1"/>
    </xf>
    <xf numFmtId="39" fontId="21" fillId="29" borderId="10" xfId="0" applyNumberFormat="1" applyFont="1" applyFill="1" applyBorder="1" applyAlignment="1">
      <alignment horizontal="left" vertical="center" wrapText="1"/>
    </xf>
    <xf numFmtId="0" fontId="21" fillId="29" borderId="10" xfId="0" applyFont="1" applyFill="1" applyBorder="1" applyAlignment="1">
      <alignment horizontal="left" vertical="center" wrapText="1"/>
    </xf>
    <xf numFmtId="0" fontId="24" fillId="26" borderId="10" xfId="0" applyFont="1" applyFill="1" applyBorder="1" applyAlignment="1">
      <alignment horizontal="left" vertical="center"/>
    </xf>
    <xf numFmtId="0" fontId="21" fillId="28" borderId="10" xfId="0" applyFont="1" applyFill="1" applyBorder="1" applyAlignment="1">
      <alignment horizontal="left" vertical="center" wrapText="1"/>
    </xf>
    <xf numFmtId="0" fontId="24" fillId="26" borderId="11" xfId="0" applyFont="1" applyFill="1" applyBorder="1" applyAlignment="1">
      <alignment horizontal="left" vertical="center"/>
    </xf>
    <xf numFmtId="0" fontId="24" fillId="26" borderId="10" xfId="0" applyFont="1" applyFill="1" applyBorder="1" applyAlignment="1">
      <alignment horizontal="justify" vertical="center" wrapText="1"/>
    </xf>
    <xf numFmtId="0" fontId="21" fillId="29" borderId="10" xfId="0" applyFont="1" applyFill="1" applyBorder="1" applyAlignment="1">
      <alignment horizontal="justify" vertical="center"/>
    </xf>
    <xf numFmtId="0" fontId="21" fillId="28" borderId="10" xfId="0" applyFont="1" applyFill="1" applyBorder="1" applyAlignment="1">
      <alignment horizontal="justify" vertical="center"/>
    </xf>
    <xf numFmtId="0" fontId="24" fillId="26" borderId="10" xfId="0" applyFont="1" applyFill="1" applyBorder="1" applyAlignment="1">
      <alignment horizontal="left" vertical="center" wrapText="1"/>
    </xf>
    <xf numFmtId="0" fontId="24" fillId="26" borderId="12" xfId="0" applyFont="1" applyFill="1" applyBorder="1" applyAlignment="1">
      <alignment horizontal="left" vertical="center" wrapText="1"/>
    </xf>
    <xf numFmtId="0" fontId="24" fillId="26" borderId="13" xfId="0" applyFont="1" applyFill="1" applyBorder="1" applyAlignment="1">
      <alignment horizontal="left" vertical="center" wrapText="1"/>
    </xf>
    <xf numFmtId="0" fontId="24" fillId="26" borderId="11" xfId="0" applyFont="1" applyFill="1" applyBorder="1" applyAlignment="1">
      <alignment horizontal="left" vertical="center" wrapText="1"/>
    </xf>
    <xf numFmtId="0" fontId="21" fillId="29" borderId="12" xfId="0" applyFont="1" applyFill="1" applyBorder="1" applyAlignment="1">
      <alignment horizontal="left" vertical="center" wrapText="1"/>
    </xf>
    <xf numFmtId="0" fontId="21" fillId="29" borderId="13" xfId="0" applyFont="1" applyFill="1" applyBorder="1" applyAlignment="1">
      <alignment horizontal="left" vertical="center" wrapText="1"/>
    </xf>
    <xf numFmtId="0" fontId="21" fillId="29" borderId="11" xfId="0" applyFont="1" applyFill="1" applyBorder="1" applyAlignment="1">
      <alignment horizontal="left" vertical="center" wrapText="1"/>
    </xf>
    <xf numFmtId="39" fontId="21" fillId="28" borderId="10" xfId="0" applyNumberFormat="1" applyFont="1" applyFill="1" applyBorder="1" applyAlignment="1">
      <alignment horizontal="left" vertical="center" wrapText="1"/>
    </xf>
    <xf numFmtId="0" fontId="21" fillId="28" borderId="12" xfId="0" applyFont="1" applyFill="1" applyBorder="1" applyAlignment="1">
      <alignment horizontal="left" vertical="center"/>
    </xf>
    <xf numFmtId="0" fontId="21" fillId="28" borderId="13" xfId="0" applyFont="1" applyFill="1" applyBorder="1" applyAlignment="1">
      <alignment horizontal="left" vertical="center"/>
    </xf>
    <xf numFmtId="0" fontId="21" fillId="28" borderId="11" xfId="0" applyFont="1" applyFill="1" applyBorder="1" applyAlignment="1">
      <alignment horizontal="left" vertical="center"/>
    </xf>
    <xf numFmtId="0" fontId="24" fillId="27" borderId="12" xfId="0" applyFont="1" applyFill="1" applyBorder="1" applyAlignment="1">
      <alignment horizontal="left" vertical="center" wrapText="1"/>
    </xf>
    <xf numFmtId="0" fontId="24" fillId="27" borderId="11" xfId="0" applyFont="1" applyFill="1" applyBorder="1" applyAlignment="1">
      <alignment horizontal="left" vertical="center" wrapText="1"/>
    </xf>
    <xf numFmtId="0" fontId="21" fillId="28" borderId="10" xfId="0" applyFont="1" applyFill="1" applyBorder="1" applyAlignment="1">
      <alignment horizontal="left"/>
    </xf>
    <xf numFmtId="0" fontId="21" fillId="24" borderId="0" xfId="0" applyFont="1" applyFill="1" applyAlignment="1">
      <alignment horizontal="justify" vertical="center" wrapText="1"/>
    </xf>
    <xf numFmtId="0" fontId="29" fillId="24" borderId="19" xfId="0" applyFont="1" applyFill="1" applyBorder="1" applyAlignment="1">
      <alignment horizontal="left" vertical="center" wrapText="1"/>
    </xf>
    <xf numFmtId="0" fontId="24" fillId="30" borderId="18" xfId="0" applyFont="1" applyFill="1" applyBorder="1" applyAlignment="1">
      <alignment horizontal="center" vertical="center" wrapText="1"/>
    </xf>
    <xf numFmtId="0" fontId="24" fillId="30" borderId="20" xfId="0" applyFont="1" applyFill="1" applyBorder="1" applyAlignment="1">
      <alignment horizontal="center" vertical="center" wrapText="1"/>
    </xf>
    <xf numFmtId="0" fontId="24" fillId="26" borderId="12" xfId="0" applyFont="1" applyFill="1" applyBorder="1" applyAlignment="1">
      <alignment horizontal="center" vertical="center" wrapText="1"/>
    </xf>
    <xf numFmtId="0" fontId="24" fillId="26" borderId="11" xfId="0" applyFont="1" applyFill="1" applyBorder="1" applyAlignment="1">
      <alignment horizontal="center" vertical="center" wrapText="1"/>
    </xf>
    <xf numFmtId="0" fontId="24" fillId="30" borderId="18" xfId="0" applyFont="1" applyFill="1" applyBorder="1" applyAlignment="1">
      <alignment horizontal="center" vertical="center"/>
    </xf>
    <xf numFmtId="0" fontId="24" fillId="30" borderId="24" xfId="0" applyFont="1" applyFill="1" applyBorder="1" applyAlignment="1">
      <alignment horizontal="center" vertical="center"/>
    </xf>
    <xf numFmtId="0" fontId="24" fillId="30" borderId="21" xfId="0" applyFont="1" applyFill="1" applyBorder="1" applyAlignment="1">
      <alignment horizontal="center" vertical="center"/>
    </xf>
    <xf numFmtId="0" fontId="24" fillId="30" borderId="16" xfId="0" applyFont="1" applyFill="1" applyBorder="1" applyAlignment="1">
      <alignment horizontal="center" vertical="center" wrapText="1"/>
    </xf>
    <xf numFmtId="0" fontId="24" fillId="30" borderId="17" xfId="0" applyFont="1" applyFill="1" applyBorder="1" applyAlignment="1">
      <alignment horizontal="center" vertical="center" wrapText="1"/>
    </xf>
    <xf numFmtId="0" fontId="24" fillId="30" borderId="14" xfId="0" applyFont="1" applyFill="1" applyBorder="1" applyAlignment="1">
      <alignment horizontal="center" vertical="center" wrapText="1"/>
    </xf>
    <xf numFmtId="0" fontId="24" fillId="26" borderId="12" xfId="0" applyFont="1" applyFill="1" applyBorder="1" applyAlignment="1">
      <alignment horizontal="center" vertical="center"/>
    </xf>
    <xf numFmtId="0" fontId="24" fillId="26" borderId="11" xfId="0" applyFont="1" applyFill="1" applyBorder="1" applyAlignment="1">
      <alignment horizontal="center" vertical="center"/>
    </xf>
    <xf numFmtId="0" fontId="24" fillId="30" borderId="23" xfId="0" applyFont="1" applyFill="1" applyBorder="1" applyAlignment="1">
      <alignment horizontal="center" vertical="center" wrapText="1"/>
    </xf>
    <xf numFmtId="0" fontId="24" fillId="30" borderId="19" xfId="0" applyFont="1" applyFill="1" applyBorder="1" applyAlignment="1">
      <alignment horizontal="center" vertical="center" wrapText="1"/>
    </xf>
    <xf numFmtId="0" fontId="24" fillId="30" borderId="22" xfId="0" applyFont="1" applyFill="1" applyBorder="1" applyAlignment="1">
      <alignment horizontal="center" vertical="center" wrapText="1"/>
    </xf>
    <xf numFmtId="0" fontId="24" fillId="30" borderId="26" xfId="0" applyFont="1" applyFill="1" applyBorder="1" applyAlignment="1">
      <alignment horizontal="center" vertical="center" wrapText="1"/>
    </xf>
    <xf numFmtId="0" fontId="24" fillId="30" borderId="28" xfId="0" applyFont="1" applyFill="1" applyBorder="1" applyAlignment="1">
      <alignment horizontal="center" vertical="center" wrapText="1"/>
    </xf>
    <xf numFmtId="0" fontId="24" fillId="30" borderId="25" xfId="0" applyFont="1" applyFill="1" applyBorder="1" applyAlignment="1">
      <alignment horizontal="center" vertical="center" wrapText="1"/>
    </xf>
    <xf numFmtId="0" fontId="24" fillId="30" borderId="21" xfId="0" applyFont="1" applyFill="1" applyBorder="1" applyAlignment="1">
      <alignment horizontal="center" vertical="center" wrapText="1"/>
    </xf>
    <xf numFmtId="0" fontId="24" fillId="30" borderId="15" xfId="0" applyFont="1" applyFill="1" applyBorder="1" applyAlignment="1">
      <alignment horizontal="center" vertical="center" wrapText="1"/>
    </xf>
    <xf numFmtId="0" fontId="24" fillId="30" borderId="29" xfId="0" applyFont="1" applyFill="1" applyBorder="1" applyAlignment="1">
      <alignment horizontal="center" vertical="center" wrapText="1"/>
    </xf>
    <xf numFmtId="0" fontId="30" fillId="24" borderId="15" xfId="0" applyFont="1" applyFill="1" applyBorder="1" applyAlignment="1">
      <alignment horizontal="center" vertical="center" wrapText="1"/>
    </xf>
    <xf numFmtId="0" fontId="24" fillId="27" borderId="10" xfId="0" applyFont="1" applyFill="1" applyBorder="1" applyAlignment="1">
      <alignment horizontal="center" vertical="center" wrapText="1"/>
    </xf>
    <xf numFmtId="0" fontId="24" fillId="27" borderId="24" xfId="0" applyFont="1" applyFill="1" applyBorder="1" applyAlignment="1">
      <alignment horizontal="left" vertical="center"/>
    </xf>
    <xf numFmtId="0" fontId="24" fillId="27" borderId="0" xfId="0" applyFont="1" applyFill="1" applyAlignment="1">
      <alignment horizontal="left" vertical="center"/>
    </xf>
    <xf numFmtId="0" fontId="24" fillId="27" borderId="27" xfId="0" applyFont="1" applyFill="1" applyBorder="1" applyAlignment="1">
      <alignment horizontal="left" vertical="center"/>
    </xf>
    <xf numFmtId="0" fontId="24" fillId="27" borderId="20" xfId="0" applyFont="1" applyFill="1" applyBorder="1" applyAlignment="1">
      <alignment horizontal="center" vertical="center" wrapText="1"/>
    </xf>
    <xf numFmtId="0" fontId="24" fillId="27" borderId="30" xfId="0" applyFont="1" applyFill="1" applyBorder="1" applyAlignment="1">
      <alignment horizontal="center" vertical="center" wrapText="1"/>
    </xf>
  </cellXfs>
  <cellStyles count="55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Moeda" xfId="50" builtinId="4"/>
    <cellStyle name="Moeda 2" xfId="46" xr:uid="{00000000-0005-0000-0000-00001F000000}"/>
    <cellStyle name="Moeda 3" xfId="48" xr:uid="{00000000-0005-0000-0000-000020000000}"/>
    <cellStyle name="Moeda 4" xfId="52" xr:uid="{00000000-0005-0000-0000-000021000000}"/>
    <cellStyle name="Neutro" xfId="31" builtinId="28" customBuiltin="1"/>
    <cellStyle name="Normal" xfId="0" builtinId="0"/>
    <cellStyle name="Normal 2" xfId="44" xr:uid="{00000000-0005-0000-0000-000024000000}"/>
    <cellStyle name="Normal 2 2" xfId="45" xr:uid="{00000000-0005-0000-0000-000025000000}"/>
    <cellStyle name="Normal 2 3" xfId="53" xr:uid="{00000000-0005-0000-0000-000026000000}"/>
    <cellStyle name="Normal 3" xfId="47" xr:uid="{00000000-0005-0000-0000-000027000000}"/>
    <cellStyle name="Normal 4" xfId="51" xr:uid="{00000000-0005-0000-0000-000028000000}"/>
    <cellStyle name="Nota" xfId="32" builtinId="10" customBuiltin="1"/>
    <cellStyle name="Porcentagem" xfId="54" builtinId="5"/>
    <cellStyle name="Porcentagem 2" xfId="49" xr:uid="{00000000-0005-0000-0000-00002A000000}"/>
    <cellStyle name="Ruim" xfId="30" builtinId="27" customBuiltin="1"/>
    <cellStyle name="Saída" xfId="33" builtinId="21" customBuiltin="1"/>
    <cellStyle name="Texto de Aviso" xfId="34" builtinId="11" customBuiltin="1"/>
    <cellStyle name="Texto Explicativo" xfId="35" builtinId="53" customBuiltin="1"/>
    <cellStyle name="Título 1" xfId="36" builtinId="16" customBuiltin="1"/>
    <cellStyle name="Título 1 1" xfId="37" xr:uid="{00000000-0005-0000-0000-00002F000000}"/>
    <cellStyle name="Título 1 1 1" xfId="38" xr:uid="{00000000-0005-0000-0000-000030000000}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  <cellStyle name="Vírgula" xfId="4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4"/>
  <sheetViews>
    <sheetView showGridLines="0" zoomScale="160" zoomScaleNormal="160" workbookViewId="0">
      <selection sqref="A1:C1"/>
    </sheetView>
  </sheetViews>
  <sheetFormatPr defaultRowHeight="15"/>
  <cols>
    <col min="1" max="1" width="26.140625" style="66" bestFit="1" customWidth="1"/>
    <col min="2" max="2" width="22.140625" style="66" customWidth="1"/>
    <col min="3" max="3" width="11.28515625" style="66" bestFit="1" customWidth="1"/>
    <col min="4" max="4" width="0.85546875" style="66" customWidth="1"/>
    <col min="5" max="5" width="55.7109375" style="70" bestFit="1" customWidth="1"/>
    <col min="6" max="6" width="19.5703125" style="66" bestFit="1" customWidth="1"/>
    <col min="7" max="7" width="44.7109375" style="66" customWidth="1"/>
    <col min="8" max="8" width="11.42578125" style="66" bestFit="1" customWidth="1"/>
    <col min="9" max="9" width="62.140625" style="66" bestFit="1" customWidth="1"/>
    <col min="10" max="16378" width="9.140625" style="66"/>
    <col min="16379" max="16380" width="9.140625" style="66" bestFit="1" customWidth="1"/>
    <col min="16381" max="16384" width="9.140625" style="66"/>
  </cols>
  <sheetData>
    <row r="1" spans="1:5">
      <c r="A1" s="124" t="s">
        <v>2</v>
      </c>
      <c r="B1" s="124"/>
      <c r="C1" s="124"/>
      <c r="D1" s="64"/>
      <c r="E1" s="65" t="s">
        <v>3</v>
      </c>
    </row>
    <row r="2" spans="1:5">
      <c r="A2" s="67" t="s">
        <v>4</v>
      </c>
      <c r="C2" s="66" t="s">
        <v>5</v>
      </c>
      <c r="D2" s="64"/>
      <c r="E2" s="68"/>
    </row>
    <row r="3" spans="1:5">
      <c r="A3" s="69" t="s">
        <v>6</v>
      </c>
      <c r="C3" s="66">
        <v>83</v>
      </c>
      <c r="D3" s="64"/>
      <c r="E3" s="70" t="s">
        <v>7</v>
      </c>
    </row>
    <row r="4" spans="1:5">
      <c r="A4" s="69" t="s">
        <v>8</v>
      </c>
      <c r="C4" s="66">
        <v>81.42</v>
      </c>
      <c r="D4" s="64"/>
      <c r="E4" s="70" t="s">
        <v>7</v>
      </c>
    </row>
    <row r="5" spans="1:5">
      <c r="A5" s="69" t="s">
        <v>9</v>
      </c>
      <c r="C5" s="66">
        <v>128</v>
      </c>
      <c r="D5" s="64"/>
      <c r="E5" s="70" t="s">
        <v>7</v>
      </c>
    </row>
    <row r="6" spans="1:5">
      <c r="A6" s="69" t="s">
        <v>10</v>
      </c>
      <c r="C6" s="66">
        <v>74.8</v>
      </c>
      <c r="D6" s="64"/>
      <c r="E6" s="70" t="s">
        <v>7</v>
      </c>
    </row>
    <row r="7" spans="1:5">
      <c r="A7" s="69" t="s">
        <v>11</v>
      </c>
      <c r="C7" s="66">
        <v>19.11</v>
      </c>
      <c r="D7" s="64"/>
      <c r="E7" s="70" t="s">
        <v>7</v>
      </c>
    </row>
    <row r="8" spans="1:5">
      <c r="A8" s="69" t="s">
        <v>12</v>
      </c>
      <c r="C8" s="66">
        <v>138</v>
      </c>
      <c r="D8" s="64"/>
      <c r="E8" s="70" t="s">
        <v>7</v>
      </c>
    </row>
    <row r="9" spans="1:5">
      <c r="A9" s="69" t="s">
        <v>13</v>
      </c>
      <c r="C9" s="66">
        <v>6.43</v>
      </c>
      <c r="D9" s="64"/>
      <c r="E9" s="70" t="s">
        <v>7</v>
      </c>
    </row>
    <row r="10" spans="1:5">
      <c r="A10" s="66" t="s">
        <v>14</v>
      </c>
      <c r="C10" s="66">
        <v>23</v>
      </c>
      <c r="D10" s="64"/>
      <c r="E10" s="70" t="s">
        <v>7</v>
      </c>
    </row>
    <row r="11" spans="1:5">
      <c r="A11" s="66" t="s">
        <v>15</v>
      </c>
      <c r="C11" s="66">
        <v>23</v>
      </c>
      <c r="D11" s="64"/>
      <c r="E11" s="70" t="s">
        <v>7</v>
      </c>
    </row>
    <row r="12" spans="1:5">
      <c r="A12" s="67" t="s">
        <v>16</v>
      </c>
      <c r="C12" s="66">
        <f>SUM(C3:C11)</f>
        <v>576.76</v>
      </c>
      <c r="D12" s="64"/>
    </row>
    <row r="13" spans="1:5">
      <c r="D13" s="64"/>
    </row>
    <row r="14" spans="1:5">
      <c r="A14" s="67" t="s">
        <v>17</v>
      </c>
      <c r="C14" s="66" t="s">
        <v>5</v>
      </c>
      <c r="D14" s="64"/>
    </row>
    <row r="15" spans="1:5">
      <c r="A15" s="66" t="s">
        <v>18</v>
      </c>
      <c r="C15" s="66">
        <v>93.32</v>
      </c>
      <c r="D15" s="64"/>
      <c r="E15" s="70" t="s">
        <v>19</v>
      </c>
    </row>
    <row r="16" spans="1:5">
      <c r="A16" s="66" t="s">
        <v>20</v>
      </c>
      <c r="C16" s="66">
        <v>15.59</v>
      </c>
      <c r="D16" s="64"/>
      <c r="E16" s="70" t="s">
        <v>19</v>
      </c>
    </row>
    <row r="17" spans="1:6">
      <c r="A17" s="66" t="s">
        <v>21</v>
      </c>
      <c r="C17" s="66">
        <v>109.83</v>
      </c>
      <c r="D17" s="64"/>
      <c r="E17" s="70" t="s">
        <v>19</v>
      </c>
    </row>
    <row r="18" spans="1:6">
      <c r="A18" s="66" t="s">
        <v>22</v>
      </c>
      <c r="C18" s="66">
        <v>14.42</v>
      </c>
      <c r="D18" s="64"/>
      <c r="E18" s="70" t="s">
        <v>19</v>
      </c>
    </row>
    <row r="19" spans="1:6">
      <c r="A19" s="66" t="s">
        <v>23</v>
      </c>
      <c r="C19" s="66">
        <v>88.5</v>
      </c>
      <c r="D19" s="64"/>
      <c r="E19" s="70" t="s">
        <v>19</v>
      </c>
    </row>
    <row r="20" spans="1:6">
      <c r="A20" s="66" t="s">
        <v>24</v>
      </c>
      <c r="C20" s="66">
        <v>21.46</v>
      </c>
      <c r="D20" s="64"/>
      <c r="E20" s="70" t="s">
        <v>19</v>
      </c>
    </row>
    <row r="21" spans="1:6">
      <c r="A21" s="66" t="s">
        <v>25</v>
      </c>
      <c r="C21" s="66">
        <v>21.62</v>
      </c>
      <c r="D21" s="64"/>
      <c r="E21" s="70" t="s">
        <v>19</v>
      </c>
    </row>
    <row r="22" spans="1:6">
      <c r="A22" s="66" t="s">
        <v>26</v>
      </c>
      <c r="C22" s="66">
        <v>16.78</v>
      </c>
      <c r="D22" s="64"/>
      <c r="E22" s="70" t="s">
        <v>19</v>
      </c>
    </row>
    <row r="23" spans="1:6">
      <c r="A23" s="66" t="s">
        <v>27</v>
      </c>
      <c r="C23" s="66">
        <v>16</v>
      </c>
      <c r="D23" s="64"/>
      <c r="E23" s="70" t="s">
        <v>19</v>
      </c>
    </row>
    <row r="24" spans="1:6">
      <c r="A24" s="66" t="s">
        <v>28</v>
      </c>
      <c r="C24" s="66">
        <v>15.2</v>
      </c>
      <c r="D24" s="64"/>
      <c r="E24" s="70" t="s">
        <v>19</v>
      </c>
    </row>
    <row r="25" spans="1:6">
      <c r="A25" s="66" t="s">
        <v>29</v>
      </c>
      <c r="C25" s="66">
        <v>12.8</v>
      </c>
      <c r="D25" s="64"/>
      <c r="E25" s="70" t="s">
        <v>19</v>
      </c>
    </row>
    <row r="26" spans="1:6">
      <c r="A26" s="71" t="s">
        <v>16</v>
      </c>
      <c r="C26" s="66">
        <f>SUM(C15:C25)</f>
        <v>425.52</v>
      </c>
      <c r="D26" s="64"/>
    </row>
    <row r="27" spans="1:6">
      <c r="D27" s="64"/>
    </row>
    <row r="28" spans="1:6">
      <c r="A28" s="71" t="s">
        <v>30</v>
      </c>
      <c r="C28" s="66" t="s">
        <v>5</v>
      </c>
      <c r="D28" s="64"/>
      <c r="F28" s="66" t="s">
        <v>31</v>
      </c>
    </row>
    <row r="29" spans="1:6">
      <c r="A29" s="66" t="s">
        <v>32</v>
      </c>
      <c r="C29" s="66">
        <v>50.5</v>
      </c>
      <c r="D29" s="64"/>
      <c r="E29" s="70" t="s">
        <v>33</v>
      </c>
      <c r="F29" s="66" t="s">
        <v>34</v>
      </c>
    </row>
    <row r="30" spans="1:6">
      <c r="A30" s="66" t="s">
        <v>35</v>
      </c>
      <c r="C30" s="66">
        <v>2.68</v>
      </c>
      <c r="D30" s="64"/>
      <c r="E30" s="70" t="s">
        <v>33</v>
      </c>
      <c r="F30" s="66" t="s">
        <v>36</v>
      </c>
    </row>
    <row r="31" spans="1:6">
      <c r="A31" s="66" t="s">
        <v>37</v>
      </c>
      <c r="C31" s="66">
        <v>3.82</v>
      </c>
      <c r="D31" s="64"/>
      <c r="E31" s="70" t="s">
        <v>33</v>
      </c>
      <c r="F31" s="66" t="s">
        <v>36</v>
      </c>
    </row>
    <row r="32" spans="1:6">
      <c r="A32" s="66" t="s">
        <v>38</v>
      </c>
      <c r="C32" s="66">
        <v>50.5</v>
      </c>
      <c r="D32" s="64"/>
      <c r="E32" s="70" t="s">
        <v>33</v>
      </c>
      <c r="F32" s="66" t="s">
        <v>34</v>
      </c>
    </row>
    <row r="33" spans="1:6">
      <c r="A33" s="66" t="s">
        <v>39</v>
      </c>
      <c r="C33" s="66">
        <v>3.25</v>
      </c>
      <c r="D33" s="64"/>
      <c r="E33" s="70" t="s">
        <v>33</v>
      </c>
      <c r="F33" s="66" t="s">
        <v>36</v>
      </c>
    </row>
    <row r="34" spans="1:6">
      <c r="A34" s="66" t="s">
        <v>40</v>
      </c>
      <c r="C34" s="66">
        <v>3.45</v>
      </c>
      <c r="D34" s="64"/>
      <c r="E34" s="70" t="s">
        <v>33</v>
      </c>
      <c r="F34" s="66" t="s">
        <v>36</v>
      </c>
    </row>
    <row r="35" spans="1:6">
      <c r="A35" s="72" t="s">
        <v>41</v>
      </c>
      <c r="C35" s="66">
        <v>3.69</v>
      </c>
      <c r="D35" s="64"/>
      <c r="E35" s="70" t="s">
        <v>33</v>
      </c>
      <c r="F35" s="66" t="s">
        <v>36</v>
      </c>
    </row>
    <row r="36" spans="1:6">
      <c r="A36" s="72" t="s">
        <v>42</v>
      </c>
      <c r="C36" s="66">
        <v>3.03</v>
      </c>
      <c r="D36" s="64"/>
      <c r="E36" s="70" t="s">
        <v>33</v>
      </c>
      <c r="F36" s="66" t="s">
        <v>36</v>
      </c>
    </row>
    <row r="37" spans="1:6">
      <c r="A37" s="72" t="s">
        <v>43</v>
      </c>
      <c r="C37" s="66">
        <v>3.67</v>
      </c>
      <c r="D37" s="64"/>
      <c r="E37" s="70" t="s">
        <v>33</v>
      </c>
      <c r="F37" s="66" t="s">
        <v>36</v>
      </c>
    </row>
    <row r="38" spans="1:6">
      <c r="A38" s="72" t="s">
        <v>44</v>
      </c>
      <c r="C38" s="66">
        <v>2.64</v>
      </c>
      <c r="D38" s="64"/>
      <c r="E38" s="70" t="s">
        <v>33</v>
      </c>
      <c r="F38" s="66" t="s">
        <v>36</v>
      </c>
    </row>
    <row r="39" spans="1:6">
      <c r="A39" s="72" t="s">
        <v>45</v>
      </c>
      <c r="C39" s="66">
        <v>3.09</v>
      </c>
      <c r="D39" s="64"/>
      <c r="E39" s="70" t="s">
        <v>33</v>
      </c>
      <c r="F39" s="66" t="s">
        <v>36</v>
      </c>
    </row>
    <row r="40" spans="1:6">
      <c r="A40" s="72" t="s">
        <v>46</v>
      </c>
      <c r="C40" s="66">
        <v>3.82</v>
      </c>
      <c r="D40" s="64"/>
      <c r="E40" s="70" t="s">
        <v>33</v>
      </c>
      <c r="F40" s="66" t="s">
        <v>36</v>
      </c>
    </row>
    <row r="41" spans="1:6">
      <c r="A41" s="72" t="s">
        <v>47</v>
      </c>
      <c r="C41" s="66">
        <v>3.56</v>
      </c>
      <c r="D41" s="64"/>
      <c r="E41" s="70" t="s">
        <v>33</v>
      </c>
      <c r="F41" s="66" t="s">
        <v>36</v>
      </c>
    </row>
    <row r="42" spans="1:6">
      <c r="A42" s="72" t="s">
        <v>48</v>
      </c>
      <c r="C42" s="66">
        <v>3.37</v>
      </c>
      <c r="D42" s="64"/>
      <c r="E42" s="70" t="s">
        <v>33</v>
      </c>
      <c r="F42" s="66" t="s">
        <v>36</v>
      </c>
    </row>
    <row r="43" spans="1:6">
      <c r="A43" s="72" t="s">
        <v>49</v>
      </c>
      <c r="C43" s="66">
        <v>3.44</v>
      </c>
      <c r="D43" s="64"/>
      <c r="E43" s="70" t="s">
        <v>33</v>
      </c>
      <c r="F43" s="66" t="s">
        <v>36</v>
      </c>
    </row>
    <row r="44" spans="1:6">
      <c r="A44" s="72" t="s">
        <v>50</v>
      </c>
      <c r="C44" s="66">
        <v>2.59</v>
      </c>
      <c r="D44" s="64"/>
      <c r="E44" s="70" t="s">
        <v>33</v>
      </c>
      <c r="F44" s="66" t="s">
        <v>36</v>
      </c>
    </row>
    <row r="45" spans="1:6">
      <c r="A45" s="72" t="s">
        <v>51</v>
      </c>
      <c r="C45" s="66">
        <v>50.5</v>
      </c>
      <c r="D45" s="64"/>
      <c r="E45" s="70" t="s">
        <v>33</v>
      </c>
      <c r="F45" s="66" t="s">
        <v>34</v>
      </c>
    </row>
    <row r="46" spans="1:6">
      <c r="A46" s="66" t="s">
        <v>52</v>
      </c>
      <c r="C46" s="66">
        <v>3.55</v>
      </c>
      <c r="D46" s="64"/>
      <c r="E46" s="70" t="s">
        <v>33</v>
      </c>
      <c r="F46" s="66" t="s">
        <v>36</v>
      </c>
    </row>
    <row r="47" spans="1:6">
      <c r="A47" s="66" t="s">
        <v>53</v>
      </c>
      <c r="C47" s="66">
        <v>3.55</v>
      </c>
      <c r="D47" s="64"/>
      <c r="E47" s="70" t="s">
        <v>33</v>
      </c>
      <c r="F47" s="66" t="s">
        <v>36</v>
      </c>
    </row>
    <row r="48" spans="1:6">
      <c r="A48" s="66" t="s">
        <v>54</v>
      </c>
      <c r="C48" s="66">
        <v>3.4</v>
      </c>
      <c r="D48" s="64"/>
      <c r="E48" s="70" t="s">
        <v>33</v>
      </c>
      <c r="F48" s="66" t="s">
        <v>36</v>
      </c>
    </row>
    <row r="49" spans="1:6">
      <c r="A49" s="66" t="s">
        <v>55</v>
      </c>
      <c r="C49" s="66">
        <v>3</v>
      </c>
      <c r="D49" s="64"/>
      <c r="E49" s="70" t="s">
        <v>33</v>
      </c>
      <c r="F49" s="66" t="s">
        <v>36</v>
      </c>
    </row>
    <row r="50" spans="1:6">
      <c r="A50" s="66" t="s">
        <v>56</v>
      </c>
      <c r="C50" s="66">
        <v>3.4</v>
      </c>
      <c r="D50" s="64"/>
      <c r="E50" s="70" t="s">
        <v>33</v>
      </c>
      <c r="F50" s="66" t="s">
        <v>36</v>
      </c>
    </row>
    <row r="51" spans="1:6">
      <c r="A51" s="66" t="s">
        <v>57</v>
      </c>
      <c r="C51" s="66">
        <v>2.98</v>
      </c>
      <c r="D51" s="64"/>
      <c r="E51" s="70" t="s">
        <v>33</v>
      </c>
      <c r="F51" s="66" t="s">
        <v>36</v>
      </c>
    </row>
    <row r="52" spans="1:6">
      <c r="A52" s="66" t="s">
        <v>58</v>
      </c>
      <c r="C52" s="66">
        <v>50.5</v>
      </c>
      <c r="D52" s="64"/>
      <c r="E52" s="70" t="s">
        <v>33</v>
      </c>
      <c r="F52" s="66" t="s">
        <v>34</v>
      </c>
    </row>
    <row r="53" spans="1:6">
      <c r="A53" s="66" t="s">
        <v>59</v>
      </c>
      <c r="C53" s="66">
        <v>3</v>
      </c>
      <c r="D53" s="64"/>
      <c r="E53" s="70" t="s">
        <v>33</v>
      </c>
      <c r="F53" s="66" t="s">
        <v>36</v>
      </c>
    </row>
    <row r="54" spans="1:6">
      <c r="A54" s="72" t="s">
        <v>60</v>
      </c>
      <c r="C54" s="66">
        <v>3.8</v>
      </c>
      <c r="D54" s="64"/>
      <c r="E54" s="70" t="s">
        <v>33</v>
      </c>
      <c r="F54" s="66" t="s">
        <v>36</v>
      </c>
    </row>
    <row r="55" spans="1:6">
      <c r="A55" s="72" t="s">
        <v>61</v>
      </c>
      <c r="C55" s="66">
        <v>3.58</v>
      </c>
      <c r="D55" s="64"/>
      <c r="E55" s="70" t="s">
        <v>33</v>
      </c>
      <c r="F55" s="66" t="s">
        <v>36</v>
      </c>
    </row>
    <row r="56" spans="1:6">
      <c r="A56" s="72" t="s">
        <v>62</v>
      </c>
      <c r="C56" s="66">
        <v>3.4</v>
      </c>
      <c r="D56" s="64"/>
      <c r="E56" s="70" t="s">
        <v>33</v>
      </c>
      <c r="F56" s="66" t="s">
        <v>36</v>
      </c>
    </row>
    <row r="57" spans="1:6">
      <c r="A57" s="66" t="s">
        <v>63</v>
      </c>
      <c r="C57" s="66">
        <v>50.5</v>
      </c>
      <c r="D57" s="64"/>
      <c r="E57" s="70" t="s">
        <v>33</v>
      </c>
      <c r="F57" s="66" t="s">
        <v>34</v>
      </c>
    </row>
    <row r="58" spans="1:6">
      <c r="A58" s="66" t="s">
        <v>64</v>
      </c>
      <c r="C58" s="66">
        <v>3.4</v>
      </c>
      <c r="D58" s="64"/>
      <c r="E58" s="70" t="s">
        <v>33</v>
      </c>
      <c r="F58" s="66" t="s">
        <v>36</v>
      </c>
    </row>
    <row r="59" spans="1:6">
      <c r="A59" s="69" t="s">
        <v>65</v>
      </c>
      <c r="C59" s="66">
        <v>1.83</v>
      </c>
      <c r="D59" s="64"/>
      <c r="E59" s="70" t="s">
        <v>33</v>
      </c>
      <c r="F59" s="66" t="s">
        <v>36</v>
      </c>
    </row>
    <row r="60" spans="1:6">
      <c r="A60" s="69" t="s">
        <v>66</v>
      </c>
      <c r="C60" s="66">
        <v>3.14</v>
      </c>
      <c r="D60" s="64"/>
      <c r="E60" s="70" t="s">
        <v>33</v>
      </c>
      <c r="F60" s="66" t="s">
        <v>36</v>
      </c>
    </row>
    <row r="61" spans="1:6">
      <c r="A61" s="69" t="s">
        <v>67</v>
      </c>
      <c r="C61" s="66">
        <v>3.14</v>
      </c>
      <c r="D61" s="64"/>
      <c r="E61" s="70" t="s">
        <v>33</v>
      </c>
      <c r="F61" s="66" t="s">
        <v>36</v>
      </c>
    </row>
    <row r="62" spans="1:6">
      <c r="A62" s="69" t="s">
        <v>68</v>
      </c>
      <c r="C62" s="66">
        <v>3.1</v>
      </c>
      <c r="D62" s="64"/>
      <c r="E62" s="70" t="s">
        <v>33</v>
      </c>
      <c r="F62" s="66" t="s">
        <v>36</v>
      </c>
    </row>
    <row r="63" spans="1:6">
      <c r="A63" s="69" t="s">
        <v>69</v>
      </c>
      <c r="C63" s="66">
        <v>2.1</v>
      </c>
      <c r="D63" s="64"/>
      <c r="E63" s="70" t="s">
        <v>33</v>
      </c>
      <c r="F63" s="66" t="s">
        <v>36</v>
      </c>
    </row>
    <row r="64" spans="1:6">
      <c r="A64" s="69" t="s">
        <v>70</v>
      </c>
      <c r="C64" s="66">
        <v>34.67</v>
      </c>
      <c r="D64" s="64"/>
      <c r="E64" s="70" t="s">
        <v>33</v>
      </c>
      <c r="F64" s="66" t="s">
        <v>71</v>
      </c>
    </row>
    <row r="65" spans="1:6">
      <c r="A65" s="66" t="s">
        <v>72</v>
      </c>
      <c r="C65" s="66">
        <v>23</v>
      </c>
      <c r="D65" s="64"/>
      <c r="E65" s="70" t="s">
        <v>33</v>
      </c>
      <c r="F65" s="66" t="s">
        <v>71</v>
      </c>
    </row>
    <row r="66" spans="1:6">
      <c r="A66" s="69" t="s">
        <v>73</v>
      </c>
      <c r="C66" s="66">
        <v>3.12</v>
      </c>
      <c r="D66" s="64"/>
      <c r="E66" s="70" t="s">
        <v>33</v>
      </c>
      <c r="F66" s="66" t="s">
        <v>36</v>
      </c>
    </row>
    <row r="67" spans="1:6">
      <c r="A67" s="69" t="s">
        <v>73</v>
      </c>
      <c r="C67" s="66">
        <v>3.6</v>
      </c>
      <c r="D67" s="64"/>
      <c r="E67" s="70" t="s">
        <v>33</v>
      </c>
      <c r="F67" s="66" t="s">
        <v>36</v>
      </c>
    </row>
    <row r="68" spans="1:6">
      <c r="A68" s="69" t="s">
        <v>74</v>
      </c>
      <c r="C68" s="66">
        <v>4.28</v>
      </c>
      <c r="D68" s="64"/>
      <c r="E68" s="70" t="s">
        <v>33</v>
      </c>
      <c r="F68" s="66" t="s">
        <v>36</v>
      </c>
    </row>
    <row r="69" spans="1:6">
      <c r="A69" s="69" t="s">
        <v>75</v>
      </c>
      <c r="C69" s="66">
        <v>3</v>
      </c>
      <c r="D69" s="64"/>
      <c r="E69" s="70" t="s">
        <v>33</v>
      </c>
      <c r="F69" s="66" t="s">
        <v>36</v>
      </c>
    </row>
    <row r="70" spans="1:6">
      <c r="A70" s="66" t="s">
        <v>76</v>
      </c>
      <c r="C70" s="66">
        <v>24</v>
      </c>
      <c r="D70" s="64"/>
      <c r="E70" s="70" t="s">
        <v>33</v>
      </c>
      <c r="F70" s="66" t="s">
        <v>71</v>
      </c>
    </row>
    <row r="71" spans="1:6">
      <c r="A71" s="66" t="s">
        <v>77</v>
      </c>
      <c r="C71" s="66">
        <v>1.2</v>
      </c>
      <c r="D71" s="64"/>
      <c r="E71" s="70" t="s">
        <v>33</v>
      </c>
      <c r="F71" s="66" t="s">
        <v>36</v>
      </c>
    </row>
    <row r="72" spans="1:6">
      <c r="A72" s="67" t="s">
        <v>16</v>
      </c>
      <c r="C72" s="66">
        <f>SUM(C29:C71)</f>
        <v>445.84</v>
      </c>
      <c r="D72" s="64"/>
    </row>
    <row r="73" spans="1:6">
      <c r="D73" s="64"/>
    </row>
    <row r="74" spans="1:6">
      <c r="A74" s="67" t="s">
        <v>78</v>
      </c>
      <c r="C74" s="66" t="s">
        <v>5</v>
      </c>
      <c r="D74" s="64"/>
    </row>
    <row r="75" spans="1:6">
      <c r="A75" s="66" t="s">
        <v>79</v>
      </c>
      <c r="C75" s="66">
        <v>306.89999999999998</v>
      </c>
      <c r="D75" s="64"/>
      <c r="E75" s="70" t="s">
        <v>19</v>
      </c>
    </row>
    <row r="76" spans="1:6">
      <c r="A76" s="66" t="s">
        <v>80</v>
      </c>
      <c r="C76" s="66">
        <v>313.60000000000002</v>
      </c>
      <c r="D76" s="64"/>
      <c r="E76" s="70" t="s">
        <v>19</v>
      </c>
    </row>
    <row r="77" spans="1:6">
      <c r="A77" s="66" t="s">
        <v>81</v>
      </c>
      <c r="C77" s="66">
        <v>113</v>
      </c>
      <c r="D77" s="64"/>
      <c r="E77" s="70" t="s">
        <v>19</v>
      </c>
    </row>
    <row r="78" spans="1:6">
      <c r="A78" s="66" t="s">
        <v>82</v>
      </c>
      <c r="C78" s="66">
        <v>32</v>
      </c>
      <c r="D78" s="64"/>
      <c r="E78" s="70" t="s">
        <v>19</v>
      </c>
    </row>
    <row r="79" spans="1:6">
      <c r="A79" s="66" t="s">
        <v>83</v>
      </c>
      <c r="C79" s="66">
        <v>360.2</v>
      </c>
      <c r="D79" s="64"/>
      <c r="E79" s="70" t="s">
        <v>19</v>
      </c>
    </row>
    <row r="80" spans="1:6">
      <c r="A80" s="66" t="s">
        <v>84</v>
      </c>
      <c r="C80" s="66">
        <v>361.9</v>
      </c>
      <c r="D80" s="64"/>
      <c r="E80" s="70" t="s">
        <v>19</v>
      </c>
    </row>
    <row r="81" spans="1:5">
      <c r="A81" s="66" t="s">
        <v>85</v>
      </c>
      <c r="C81" s="66">
        <v>97.8</v>
      </c>
      <c r="D81" s="64"/>
      <c r="E81" s="70" t="s">
        <v>19</v>
      </c>
    </row>
    <row r="82" spans="1:5">
      <c r="A82" s="66" t="s">
        <v>86</v>
      </c>
      <c r="C82" s="66">
        <v>32</v>
      </c>
      <c r="D82" s="64"/>
      <c r="E82" s="70" t="s">
        <v>19</v>
      </c>
    </row>
    <row r="83" spans="1:5">
      <c r="A83" s="66" t="s">
        <v>87</v>
      </c>
      <c r="C83" s="66">
        <v>337.8</v>
      </c>
      <c r="D83" s="64"/>
      <c r="E83" s="70" t="s">
        <v>19</v>
      </c>
    </row>
    <row r="84" spans="1:5">
      <c r="A84" s="66" t="s">
        <v>88</v>
      </c>
      <c r="C84" s="66">
        <v>408.64</v>
      </c>
      <c r="D84" s="64"/>
      <c r="E84" s="70" t="s">
        <v>19</v>
      </c>
    </row>
    <row r="85" spans="1:5">
      <c r="A85" s="66" t="s">
        <v>89</v>
      </c>
      <c r="C85" s="66">
        <v>98</v>
      </c>
      <c r="D85" s="64"/>
      <c r="E85" s="70" t="s">
        <v>19</v>
      </c>
    </row>
    <row r="86" spans="1:5">
      <c r="A86" s="66" t="s">
        <v>90</v>
      </c>
      <c r="C86" s="66">
        <v>32</v>
      </c>
      <c r="D86" s="64"/>
      <c r="E86" s="70" t="s">
        <v>19</v>
      </c>
    </row>
    <row r="87" spans="1:5">
      <c r="A87" s="66" t="s">
        <v>91</v>
      </c>
      <c r="C87" s="66">
        <v>317.5</v>
      </c>
      <c r="D87" s="64"/>
      <c r="E87" s="70" t="s">
        <v>19</v>
      </c>
    </row>
    <row r="88" spans="1:5">
      <c r="A88" s="66" t="s">
        <v>92</v>
      </c>
      <c r="C88" s="66">
        <v>372.4</v>
      </c>
      <c r="D88" s="64"/>
      <c r="E88" s="70" t="s">
        <v>19</v>
      </c>
    </row>
    <row r="89" spans="1:5">
      <c r="A89" s="66" t="s">
        <v>93</v>
      </c>
      <c r="C89" s="66">
        <v>96.5</v>
      </c>
      <c r="D89" s="64"/>
      <c r="E89" s="70" t="s">
        <v>19</v>
      </c>
    </row>
    <row r="90" spans="1:5">
      <c r="A90" s="66" t="s">
        <v>94</v>
      </c>
      <c r="C90" s="66">
        <v>32</v>
      </c>
      <c r="D90" s="64"/>
      <c r="E90" s="70" t="s">
        <v>19</v>
      </c>
    </row>
    <row r="91" spans="1:5">
      <c r="A91" s="66" t="s">
        <v>95</v>
      </c>
      <c r="C91" s="66">
        <v>302.5</v>
      </c>
      <c r="D91" s="64"/>
      <c r="E91" s="70" t="s">
        <v>19</v>
      </c>
    </row>
    <row r="92" spans="1:5">
      <c r="A92" s="66" t="s">
        <v>96</v>
      </c>
      <c r="C92" s="66">
        <v>201.4</v>
      </c>
      <c r="D92" s="64"/>
      <c r="E92" s="70" t="s">
        <v>19</v>
      </c>
    </row>
    <row r="93" spans="1:5">
      <c r="A93" s="66" t="s">
        <v>97</v>
      </c>
      <c r="C93" s="66">
        <v>81.900000000000006</v>
      </c>
      <c r="D93" s="64"/>
      <c r="E93" s="70" t="s">
        <v>19</v>
      </c>
    </row>
    <row r="94" spans="1:5">
      <c r="A94" s="66" t="s">
        <v>98</v>
      </c>
      <c r="C94" s="66">
        <v>86</v>
      </c>
      <c r="D94" s="64"/>
      <c r="E94" s="70" t="s">
        <v>19</v>
      </c>
    </row>
    <row r="95" spans="1:5">
      <c r="A95" s="66" t="s">
        <v>99</v>
      </c>
      <c r="C95" s="66">
        <v>247</v>
      </c>
      <c r="D95" s="64"/>
      <c r="E95" s="70" t="s">
        <v>19</v>
      </c>
    </row>
    <row r="96" spans="1:5">
      <c r="A96" s="66" t="s">
        <v>100</v>
      </c>
      <c r="C96" s="66">
        <v>300</v>
      </c>
      <c r="D96" s="64"/>
      <c r="E96" s="70" t="s">
        <v>19</v>
      </c>
    </row>
    <row r="97" spans="1:5">
      <c r="A97" s="66" t="s">
        <v>101</v>
      </c>
      <c r="C97" s="66">
        <v>329.2</v>
      </c>
      <c r="D97" s="64"/>
      <c r="E97" s="70" t="s">
        <v>19</v>
      </c>
    </row>
    <row r="98" spans="1:5">
      <c r="A98" s="66" t="s">
        <v>102</v>
      </c>
      <c r="C98" s="66">
        <v>780</v>
      </c>
      <c r="D98" s="64"/>
      <c r="E98" s="70" t="s">
        <v>19</v>
      </c>
    </row>
    <row r="99" spans="1:5">
      <c r="A99" s="66" t="s">
        <v>103</v>
      </c>
      <c r="C99" s="66">
        <v>97.1</v>
      </c>
      <c r="D99" s="64"/>
      <c r="E99" s="70" t="s">
        <v>19</v>
      </c>
    </row>
    <row r="100" spans="1:5">
      <c r="A100" s="66" t="s">
        <v>104</v>
      </c>
      <c r="C100" s="66">
        <v>72.099999999999994</v>
      </c>
      <c r="D100" s="64"/>
      <c r="E100" s="70" t="s">
        <v>19</v>
      </c>
    </row>
    <row r="101" spans="1:5">
      <c r="A101" s="66" t="s">
        <v>105</v>
      </c>
      <c r="C101" s="66">
        <v>147.4</v>
      </c>
      <c r="D101" s="64"/>
      <c r="E101" s="70" t="s">
        <v>19</v>
      </c>
    </row>
    <row r="102" spans="1:5">
      <c r="A102" s="66" t="s">
        <v>106</v>
      </c>
      <c r="C102" s="66">
        <v>49</v>
      </c>
      <c r="D102" s="64"/>
      <c r="E102" s="70" t="s">
        <v>19</v>
      </c>
    </row>
    <row r="103" spans="1:5">
      <c r="A103" s="66" t="s">
        <v>107</v>
      </c>
      <c r="C103" s="66">
        <v>1970.1</v>
      </c>
      <c r="D103" s="64"/>
      <c r="E103" s="70" t="s">
        <v>108</v>
      </c>
    </row>
    <row r="104" spans="1:5">
      <c r="A104" s="66" t="s">
        <v>109</v>
      </c>
      <c r="C104" s="66">
        <v>15.8</v>
      </c>
      <c r="D104" s="64"/>
      <c r="E104" s="70" t="s">
        <v>19</v>
      </c>
    </row>
    <row r="105" spans="1:5">
      <c r="A105" s="66" t="s">
        <v>110</v>
      </c>
      <c r="C105" s="66">
        <v>72</v>
      </c>
      <c r="D105" s="64"/>
      <c r="E105" s="70" t="s">
        <v>19</v>
      </c>
    </row>
    <row r="106" spans="1:5">
      <c r="A106" s="66" t="s">
        <v>111</v>
      </c>
      <c r="C106" s="66">
        <v>2262</v>
      </c>
      <c r="D106" s="64"/>
      <c r="E106" s="70" t="s">
        <v>108</v>
      </c>
    </row>
    <row r="107" spans="1:5">
      <c r="A107" s="66" t="s">
        <v>112</v>
      </c>
      <c r="C107" s="66">
        <v>3.17</v>
      </c>
      <c r="D107" s="64"/>
      <c r="E107" s="70" t="s">
        <v>19</v>
      </c>
    </row>
    <row r="108" spans="1:5">
      <c r="A108" s="66" t="s">
        <v>113</v>
      </c>
      <c r="C108" s="66">
        <v>3.92</v>
      </c>
      <c r="D108" s="64"/>
      <c r="E108" s="70" t="s">
        <v>19</v>
      </c>
    </row>
    <row r="109" spans="1:5">
      <c r="A109" s="71" t="s">
        <v>16</v>
      </c>
      <c r="C109" s="66">
        <f>SUM(C75:C108)</f>
        <v>10332.83</v>
      </c>
      <c r="D109" s="64"/>
    </row>
    <row r="110" spans="1:5">
      <c r="D110" s="64"/>
    </row>
    <row r="111" spans="1:5">
      <c r="A111" s="67" t="s">
        <v>114</v>
      </c>
      <c r="B111" s="66" t="s">
        <v>115</v>
      </c>
      <c r="C111" s="66" t="s">
        <v>116</v>
      </c>
      <c r="D111" s="64"/>
    </row>
    <row r="112" spans="1:5" ht="15.75">
      <c r="A112" s="66" t="s">
        <v>96</v>
      </c>
      <c r="B112" s="66">
        <v>36.15</v>
      </c>
      <c r="C112" s="66">
        <f>B112*3</f>
        <v>108.45</v>
      </c>
      <c r="D112" s="73"/>
      <c r="E112" s="70" t="s">
        <v>117</v>
      </c>
    </row>
    <row r="113" spans="1:5" ht="15.75">
      <c r="A113" s="66" t="s">
        <v>118</v>
      </c>
      <c r="B113" s="66">
        <v>27.3</v>
      </c>
      <c r="C113" s="66">
        <f>B113*3</f>
        <v>81.900000000000006</v>
      </c>
      <c r="D113" s="73"/>
      <c r="E113" s="70" t="s">
        <v>117</v>
      </c>
    </row>
    <row r="114" spans="1:5" ht="15.75">
      <c r="A114" s="66" t="s">
        <v>119</v>
      </c>
      <c r="B114" s="66">
        <v>15</v>
      </c>
      <c r="C114" s="66">
        <f>B114*3</f>
        <v>45</v>
      </c>
      <c r="D114" s="73"/>
      <c r="E114" s="70" t="s">
        <v>117</v>
      </c>
    </row>
    <row r="115" spans="1:5">
      <c r="A115" s="71" t="s">
        <v>16</v>
      </c>
      <c r="C115" s="66">
        <f>SUM(C112:C114)</f>
        <v>235.35</v>
      </c>
      <c r="D115" s="64"/>
    </row>
    <row r="116" spans="1:5">
      <c r="D116" s="64"/>
    </row>
    <row r="117" spans="1:5">
      <c r="A117" s="67" t="s">
        <v>120</v>
      </c>
      <c r="C117" s="66" t="s">
        <v>5</v>
      </c>
      <c r="D117" s="64"/>
    </row>
    <row r="118" spans="1:5">
      <c r="A118" s="66" t="s">
        <v>121</v>
      </c>
      <c r="C118" s="66">
        <v>443.37</v>
      </c>
      <c r="D118" s="64"/>
      <c r="E118" s="74" t="s">
        <v>122</v>
      </c>
    </row>
    <row r="119" spans="1:5">
      <c r="A119" s="66" t="s">
        <v>123</v>
      </c>
      <c r="C119" s="66">
        <v>36.89</v>
      </c>
      <c r="D119" s="64"/>
      <c r="E119" s="74" t="s">
        <v>122</v>
      </c>
    </row>
    <row r="120" spans="1:5">
      <c r="A120" s="66" t="s">
        <v>124</v>
      </c>
      <c r="C120" s="66">
        <v>40.700000000000003</v>
      </c>
      <c r="D120" s="64"/>
      <c r="E120" s="74" t="s">
        <v>122</v>
      </c>
    </row>
    <row r="121" spans="1:5">
      <c r="A121" s="66" t="s">
        <v>125</v>
      </c>
      <c r="C121" s="66">
        <f>35.25+24</f>
        <v>59.25</v>
      </c>
      <c r="D121" s="64"/>
      <c r="E121" s="74" t="s">
        <v>122</v>
      </c>
    </row>
    <row r="122" spans="1:5">
      <c r="A122" s="66" t="s">
        <v>126</v>
      </c>
      <c r="C122" s="66">
        <v>29.7</v>
      </c>
      <c r="D122" s="64"/>
      <c r="E122" s="74" t="s">
        <v>122</v>
      </c>
    </row>
    <row r="123" spans="1:5">
      <c r="A123" s="66" t="s">
        <v>127</v>
      </c>
      <c r="C123" s="66">
        <v>260.8</v>
      </c>
      <c r="D123" s="64"/>
      <c r="E123" s="74" t="s">
        <v>122</v>
      </c>
    </row>
    <row r="124" spans="1:5">
      <c r="A124" s="66" t="s">
        <v>128</v>
      </c>
      <c r="C124" s="66">
        <v>264.10000000000002</v>
      </c>
      <c r="D124" s="64"/>
      <c r="E124" s="74" t="s">
        <v>122</v>
      </c>
    </row>
    <row r="125" spans="1:5">
      <c r="A125" s="66" t="s">
        <v>129</v>
      </c>
      <c r="C125" s="66">
        <v>700.1</v>
      </c>
      <c r="D125" s="64"/>
      <c r="E125" s="70" t="s">
        <v>130</v>
      </c>
    </row>
    <row r="126" spans="1:5">
      <c r="A126" s="66" t="s">
        <v>131</v>
      </c>
      <c r="C126" s="66">
        <v>1244.8</v>
      </c>
      <c r="D126" s="64"/>
      <c r="E126" s="70" t="s">
        <v>108</v>
      </c>
    </row>
    <row r="127" spans="1:5">
      <c r="A127" s="66" t="s">
        <v>132</v>
      </c>
      <c r="C127" s="66">
        <v>186.5</v>
      </c>
      <c r="D127" s="64"/>
      <c r="E127" s="70" t="s">
        <v>130</v>
      </c>
    </row>
    <row r="128" spans="1:5">
      <c r="A128" s="66" t="s">
        <v>133</v>
      </c>
      <c r="C128" s="66">
        <v>72.150000000000006</v>
      </c>
      <c r="D128" s="64"/>
      <c r="E128" s="70" t="s">
        <v>130</v>
      </c>
    </row>
    <row r="129" spans="1:5">
      <c r="A129" s="67" t="s">
        <v>16</v>
      </c>
      <c r="C129" s="66">
        <f>SUM(C118:C128)</f>
        <v>3338.36</v>
      </c>
      <c r="D129" s="64"/>
    </row>
    <row r="130" spans="1:5">
      <c r="D130" s="64"/>
    </row>
    <row r="131" spans="1:5">
      <c r="A131" s="67" t="s">
        <v>134</v>
      </c>
      <c r="B131" s="66" t="s">
        <v>115</v>
      </c>
      <c r="C131" s="66" t="s">
        <v>5</v>
      </c>
      <c r="D131" s="64"/>
    </row>
    <row r="132" spans="1:5">
      <c r="A132" s="66" t="s">
        <v>91</v>
      </c>
      <c r="B132" s="66">
        <v>37.07</v>
      </c>
      <c r="C132" s="66">
        <f t="shared" ref="C132:C153" si="0">B132*3</f>
        <v>111.21</v>
      </c>
      <c r="D132" s="64"/>
      <c r="E132" s="70" t="s">
        <v>135</v>
      </c>
    </row>
    <row r="133" spans="1:5">
      <c r="A133" s="66" t="s">
        <v>136</v>
      </c>
      <c r="B133" s="66">
        <v>14.65</v>
      </c>
      <c r="C133" s="66">
        <f t="shared" si="0"/>
        <v>43.95</v>
      </c>
      <c r="D133" s="64"/>
      <c r="E133" s="70" t="s">
        <v>135</v>
      </c>
    </row>
    <row r="134" spans="1:5">
      <c r="A134" s="66" t="s">
        <v>92</v>
      </c>
      <c r="B134" s="66">
        <v>39.200000000000003</v>
      </c>
      <c r="C134" s="66">
        <f t="shared" si="0"/>
        <v>117.6</v>
      </c>
      <c r="D134" s="64"/>
      <c r="E134" s="70" t="s">
        <v>135</v>
      </c>
    </row>
    <row r="135" spans="1:5">
      <c r="A135" s="66" t="s">
        <v>137</v>
      </c>
      <c r="B135" s="66">
        <v>7.29</v>
      </c>
      <c r="C135" s="66">
        <f t="shared" si="0"/>
        <v>21.87</v>
      </c>
      <c r="D135" s="64"/>
      <c r="E135" s="70" t="s">
        <v>135</v>
      </c>
    </row>
    <row r="136" spans="1:5">
      <c r="A136" s="66" t="s">
        <v>87</v>
      </c>
      <c r="B136" s="66">
        <v>30.04</v>
      </c>
      <c r="C136" s="66">
        <f t="shared" si="0"/>
        <v>90.12</v>
      </c>
      <c r="D136" s="64"/>
      <c r="E136" s="70" t="s">
        <v>135</v>
      </c>
    </row>
    <row r="137" spans="1:5">
      <c r="A137" s="66" t="s">
        <v>138</v>
      </c>
      <c r="B137" s="66">
        <v>14.18</v>
      </c>
      <c r="C137" s="66">
        <f t="shared" si="0"/>
        <v>42.54</v>
      </c>
      <c r="D137" s="64"/>
      <c r="E137" s="70" t="s">
        <v>135</v>
      </c>
    </row>
    <row r="138" spans="1:5">
      <c r="A138" s="66" t="s">
        <v>88</v>
      </c>
      <c r="B138" s="66">
        <v>31.98</v>
      </c>
      <c r="C138" s="66">
        <f t="shared" si="0"/>
        <v>95.94</v>
      </c>
      <c r="D138" s="64"/>
      <c r="E138" s="70" t="s">
        <v>135</v>
      </c>
    </row>
    <row r="139" spans="1:5">
      <c r="A139" s="66" t="s">
        <v>139</v>
      </c>
      <c r="B139" s="66">
        <v>14.27</v>
      </c>
      <c r="C139" s="66">
        <f t="shared" si="0"/>
        <v>42.81</v>
      </c>
      <c r="D139" s="64"/>
      <c r="E139" s="70" t="s">
        <v>135</v>
      </c>
    </row>
    <row r="140" spans="1:5">
      <c r="A140" s="66" t="s">
        <v>83</v>
      </c>
      <c r="B140" s="66">
        <v>27.14</v>
      </c>
      <c r="C140" s="66">
        <f t="shared" si="0"/>
        <v>81.42</v>
      </c>
      <c r="D140" s="64"/>
      <c r="E140" s="70" t="s">
        <v>135</v>
      </c>
    </row>
    <row r="141" spans="1:5">
      <c r="A141" s="66" t="s">
        <v>140</v>
      </c>
      <c r="B141" s="66">
        <v>14.3</v>
      </c>
      <c r="C141" s="66">
        <f t="shared" si="0"/>
        <v>42.9</v>
      </c>
      <c r="D141" s="64"/>
      <c r="E141" s="70" t="s">
        <v>135</v>
      </c>
    </row>
    <row r="142" spans="1:5">
      <c r="A142" s="66" t="s">
        <v>84</v>
      </c>
      <c r="B142" s="66">
        <v>27.76</v>
      </c>
      <c r="C142" s="66">
        <f t="shared" si="0"/>
        <v>83.28</v>
      </c>
      <c r="D142" s="64"/>
      <c r="E142" s="70" t="s">
        <v>135</v>
      </c>
    </row>
    <row r="143" spans="1:5">
      <c r="A143" s="66" t="s">
        <v>141</v>
      </c>
      <c r="B143" s="66">
        <v>13.27</v>
      </c>
      <c r="C143" s="66">
        <f t="shared" si="0"/>
        <v>39.81</v>
      </c>
      <c r="D143" s="64"/>
      <c r="E143" s="70" t="s">
        <v>135</v>
      </c>
    </row>
    <row r="144" spans="1:5">
      <c r="A144" s="66" t="s">
        <v>142</v>
      </c>
      <c r="B144" s="66">
        <v>32.57</v>
      </c>
      <c r="C144" s="66">
        <f t="shared" si="0"/>
        <v>97.71</v>
      </c>
      <c r="D144" s="64"/>
      <c r="E144" s="70" t="s">
        <v>135</v>
      </c>
    </row>
    <row r="145" spans="1:5">
      <c r="A145" s="66" t="s">
        <v>143</v>
      </c>
      <c r="B145" s="66">
        <v>17.14</v>
      </c>
      <c r="C145" s="66">
        <f t="shared" si="0"/>
        <v>51.42</v>
      </c>
      <c r="D145" s="64"/>
      <c r="E145" s="70" t="s">
        <v>135</v>
      </c>
    </row>
    <row r="146" spans="1:5">
      <c r="A146" s="66" t="s">
        <v>144</v>
      </c>
      <c r="B146" s="66">
        <v>34.46</v>
      </c>
      <c r="C146" s="66">
        <f t="shared" si="0"/>
        <v>103.38</v>
      </c>
      <c r="D146" s="64"/>
      <c r="E146" s="70" t="s">
        <v>135</v>
      </c>
    </row>
    <row r="147" spans="1:5">
      <c r="A147" s="66" t="s">
        <v>145</v>
      </c>
      <c r="B147" s="66">
        <v>21.74</v>
      </c>
      <c r="C147" s="66">
        <f t="shared" si="0"/>
        <v>65.22</v>
      </c>
      <c r="D147" s="64"/>
      <c r="E147" s="70" t="s">
        <v>135</v>
      </c>
    </row>
    <row r="148" spans="1:5">
      <c r="A148" s="66" t="s">
        <v>146</v>
      </c>
      <c r="B148" s="66">
        <v>12.99</v>
      </c>
      <c r="C148" s="66">
        <f t="shared" si="0"/>
        <v>38.97</v>
      </c>
      <c r="D148" s="64"/>
      <c r="E148" s="70" t="s">
        <v>135</v>
      </c>
    </row>
    <row r="149" spans="1:5">
      <c r="A149" s="66" t="s">
        <v>147</v>
      </c>
      <c r="B149" s="66">
        <v>54.94</v>
      </c>
      <c r="C149" s="66">
        <f t="shared" si="0"/>
        <v>164.82</v>
      </c>
      <c r="D149" s="64"/>
      <c r="E149" s="70" t="s">
        <v>135</v>
      </c>
    </row>
    <row r="150" spans="1:5">
      <c r="A150" s="66" t="s">
        <v>148</v>
      </c>
      <c r="B150" s="66">
        <v>30.07</v>
      </c>
      <c r="C150" s="66">
        <f t="shared" si="0"/>
        <v>90.21</v>
      </c>
      <c r="D150" s="64"/>
      <c r="E150" s="70" t="s">
        <v>135</v>
      </c>
    </row>
    <row r="151" spans="1:5">
      <c r="A151" s="66" t="s">
        <v>149</v>
      </c>
      <c r="B151" s="66">
        <v>14.5</v>
      </c>
      <c r="C151" s="66">
        <f t="shared" si="0"/>
        <v>43.5</v>
      </c>
      <c r="D151" s="64"/>
      <c r="E151" s="70" t="s">
        <v>135</v>
      </c>
    </row>
    <row r="152" spans="1:5">
      <c r="A152" s="66" t="s">
        <v>150</v>
      </c>
      <c r="B152" s="66">
        <v>32.200000000000003</v>
      </c>
      <c r="C152" s="66">
        <f t="shared" si="0"/>
        <v>96.6</v>
      </c>
      <c r="D152" s="64"/>
      <c r="E152" s="70" t="s">
        <v>135</v>
      </c>
    </row>
    <row r="153" spans="1:5">
      <c r="A153" s="66" t="s">
        <v>151</v>
      </c>
      <c r="B153" s="66">
        <v>3.49</v>
      </c>
      <c r="C153" s="66">
        <f t="shared" si="0"/>
        <v>10.47</v>
      </c>
      <c r="D153" s="64"/>
      <c r="E153" s="70" t="s">
        <v>135</v>
      </c>
    </row>
    <row r="154" spans="1:5">
      <c r="A154" s="71" t="s">
        <v>16</v>
      </c>
      <c r="C154" s="66">
        <f>SUM(C132:C153)</f>
        <v>1575.75</v>
      </c>
      <c r="D154" s="64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4"/>
  <sheetViews>
    <sheetView topLeftCell="A29" workbookViewId="0">
      <selection activeCell="C63" sqref="C63:E63"/>
    </sheetView>
  </sheetViews>
  <sheetFormatPr defaultRowHeight="16.5"/>
  <cols>
    <col min="1" max="1" width="2.7109375" style="4" customWidth="1"/>
    <col min="2" max="2" width="8.85546875" style="4" customWidth="1"/>
    <col min="3" max="3" width="52.5703125" style="6" customWidth="1"/>
    <col min="4" max="4" width="9.7109375" style="6" customWidth="1"/>
    <col min="5" max="5" width="12" style="6" customWidth="1"/>
    <col min="6" max="6" width="17" style="6" customWidth="1"/>
    <col min="7" max="16384" width="9.140625" style="4"/>
  </cols>
  <sheetData>
    <row r="1" spans="1:6" s="47" customFormat="1" ht="25.5">
      <c r="B1" s="48" t="s">
        <v>362</v>
      </c>
      <c r="C1" s="4"/>
      <c r="D1" s="4"/>
      <c r="E1" s="4"/>
      <c r="F1" s="4"/>
    </row>
    <row r="2" spans="1:6">
      <c r="B2" s="17" t="s">
        <v>323</v>
      </c>
      <c r="E2" s="5"/>
      <c r="F2" s="5"/>
    </row>
    <row r="3" spans="1:6" ht="33">
      <c r="B3" s="1">
        <v>1</v>
      </c>
      <c r="C3" s="159" t="s">
        <v>324</v>
      </c>
      <c r="D3" s="159"/>
      <c r="E3" s="159"/>
      <c r="F3" s="39" t="s">
        <v>363</v>
      </c>
    </row>
    <row r="4" spans="1:6">
      <c r="B4" s="1" t="s">
        <v>314</v>
      </c>
      <c r="C4" s="172" t="s">
        <v>364</v>
      </c>
      <c r="D4" s="173"/>
      <c r="E4" s="174"/>
      <c r="F4" s="22">
        <v>220</v>
      </c>
    </row>
    <row r="5" spans="1:6">
      <c r="B5" s="1" t="s">
        <v>315</v>
      </c>
      <c r="C5" s="175" t="s">
        <v>365</v>
      </c>
      <c r="D5" s="175"/>
      <c r="E5" s="175"/>
      <c r="F5" s="20">
        <v>7</v>
      </c>
    </row>
    <row r="6" spans="1:6">
      <c r="B6" s="1" t="s">
        <v>316</v>
      </c>
      <c r="C6" s="172" t="s">
        <v>366</v>
      </c>
      <c r="D6" s="173"/>
      <c r="E6" s="174"/>
      <c r="F6" s="22">
        <v>365</v>
      </c>
    </row>
    <row r="7" spans="1:6">
      <c r="B7" s="1" t="s">
        <v>317</v>
      </c>
      <c r="C7" s="175" t="s">
        <v>367</v>
      </c>
      <c r="D7" s="175"/>
      <c r="E7" s="175"/>
      <c r="F7" s="21">
        <v>15.2</v>
      </c>
    </row>
    <row r="8" spans="1:6">
      <c r="B8" s="1" t="s">
        <v>318</v>
      </c>
      <c r="C8" s="172" t="s">
        <v>368</v>
      </c>
      <c r="D8" s="173"/>
      <c r="E8" s="174"/>
      <c r="F8" s="22">
        <v>12</v>
      </c>
    </row>
    <row r="9" spans="1:6">
      <c r="B9" s="1" t="s">
        <v>322</v>
      </c>
      <c r="C9" s="156" t="s">
        <v>369</v>
      </c>
      <c r="D9" s="157"/>
      <c r="E9" s="158"/>
      <c r="F9" s="20">
        <v>6</v>
      </c>
    </row>
    <row r="10" spans="1:6">
      <c r="B10" s="1" t="s">
        <v>341</v>
      </c>
      <c r="C10" s="160" t="s">
        <v>370</v>
      </c>
      <c r="D10" s="160"/>
      <c r="E10" s="160"/>
      <c r="F10" s="22">
        <v>60</v>
      </c>
    </row>
    <row r="11" spans="1:6">
      <c r="B11" s="1" t="s">
        <v>343</v>
      </c>
      <c r="C11" s="156" t="s">
        <v>371</v>
      </c>
      <c r="D11" s="157"/>
      <c r="E11" s="158"/>
      <c r="F11" s="20">
        <v>44</v>
      </c>
    </row>
    <row r="12" spans="1:6" s="49" customFormat="1"/>
    <row r="13" spans="1:6" s="49" customFormat="1">
      <c r="A13" s="4"/>
      <c r="B13" s="17" t="s">
        <v>325</v>
      </c>
      <c r="C13" s="6"/>
      <c r="D13" s="6"/>
      <c r="E13" s="8"/>
      <c r="F13" s="8"/>
    </row>
    <row r="14" spans="1:6" s="49" customFormat="1">
      <c r="A14" s="4"/>
      <c r="B14" s="17" t="s">
        <v>345</v>
      </c>
      <c r="C14" s="47"/>
      <c r="D14" s="47"/>
      <c r="E14" s="47"/>
      <c r="F14" s="47"/>
    </row>
    <row r="15" spans="1:6" s="49" customFormat="1" ht="15" customHeight="1">
      <c r="A15" s="4"/>
      <c r="B15" s="1" t="s">
        <v>346</v>
      </c>
      <c r="C15" s="179" t="s">
        <v>319</v>
      </c>
      <c r="D15" s="180"/>
      <c r="E15" s="39" t="s">
        <v>320</v>
      </c>
      <c r="F15" s="39" t="s">
        <v>372</v>
      </c>
    </row>
    <row r="16" spans="1:6" s="49" customFormat="1">
      <c r="B16" s="25" t="s">
        <v>314</v>
      </c>
      <c r="C16" s="181" t="s">
        <v>373</v>
      </c>
      <c r="D16" s="181"/>
      <c r="E16" s="50" t="s">
        <v>321</v>
      </c>
      <c r="F16" s="24">
        <v>6</v>
      </c>
    </row>
    <row r="17" spans="1:6" s="49" customFormat="1"/>
    <row r="18" spans="1:6" s="47" customFormat="1">
      <c r="A18" s="49"/>
      <c r="B18" s="17" t="s">
        <v>347</v>
      </c>
      <c r="C18" s="3"/>
      <c r="D18" s="9"/>
      <c r="E18" s="7"/>
      <c r="F18" s="7"/>
    </row>
    <row r="19" spans="1:6" s="47" customFormat="1">
      <c r="A19" s="49"/>
      <c r="B19" s="1">
        <v>3</v>
      </c>
      <c r="C19" s="151" t="s">
        <v>348</v>
      </c>
      <c r="D19" s="152"/>
      <c r="E19" s="164"/>
      <c r="F19" s="39" t="s">
        <v>372</v>
      </c>
    </row>
    <row r="20" spans="1:6" s="47" customFormat="1">
      <c r="A20" s="49"/>
      <c r="B20" s="1" t="s">
        <v>314</v>
      </c>
      <c r="C20" s="172" t="s">
        <v>374</v>
      </c>
      <c r="D20" s="173"/>
      <c r="E20" s="174"/>
      <c r="F20" s="18">
        <v>56.24</v>
      </c>
    </row>
    <row r="21" spans="1:6">
      <c r="A21" s="49"/>
      <c r="B21" s="2" t="s">
        <v>315</v>
      </c>
      <c r="C21" s="176" t="s">
        <v>375</v>
      </c>
      <c r="D21" s="177"/>
      <c r="E21" s="178"/>
      <c r="F21" s="13">
        <v>5.55</v>
      </c>
    </row>
    <row r="22" spans="1:6" s="47" customFormat="1" ht="15.95" customHeight="1">
      <c r="B22" s="2" t="s">
        <v>316</v>
      </c>
      <c r="C22" s="172" t="s">
        <v>376</v>
      </c>
      <c r="D22" s="173"/>
      <c r="E22" s="174"/>
      <c r="F22" s="23">
        <v>40</v>
      </c>
    </row>
    <row r="23" spans="1:6" ht="16.5" customHeight="1">
      <c r="A23" s="49"/>
      <c r="B23" s="2" t="s">
        <v>317</v>
      </c>
      <c r="C23" s="176" t="s">
        <v>377</v>
      </c>
      <c r="D23" s="177"/>
      <c r="E23" s="178"/>
      <c r="F23" s="13">
        <v>94.45</v>
      </c>
    </row>
    <row r="24" spans="1:6">
      <c r="A24" s="49"/>
      <c r="B24" s="2" t="s">
        <v>318</v>
      </c>
      <c r="C24" s="172" t="s">
        <v>378</v>
      </c>
      <c r="D24" s="173"/>
      <c r="E24" s="174"/>
      <c r="F24" s="18">
        <v>30</v>
      </c>
    </row>
    <row r="25" spans="1:6" s="49" customFormat="1"/>
    <row r="26" spans="1:6" s="47" customFormat="1">
      <c r="B26" s="17" t="s">
        <v>352</v>
      </c>
      <c r="C26" s="3"/>
      <c r="D26" s="9"/>
      <c r="E26" s="4"/>
      <c r="F26" s="4"/>
    </row>
    <row r="27" spans="1:6" s="47" customFormat="1" ht="15" customHeight="1">
      <c r="B27" s="17" t="s">
        <v>353</v>
      </c>
      <c r="C27" s="3"/>
      <c r="D27" s="9"/>
      <c r="E27" s="7"/>
      <c r="F27" s="7"/>
    </row>
    <row r="28" spans="1:6" s="47" customFormat="1">
      <c r="B28" s="1" t="s">
        <v>354</v>
      </c>
      <c r="C28" s="169" t="s">
        <v>355</v>
      </c>
      <c r="D28" s="170"/>
      <c r="E28" s="171"/>
      <c r="F28" s="39" t="s">
        <v>372</v>
      </c>
    </row>
    <row r="29" spans="1:6" s="47" customFormat="1">
      <c r="B29" s="1" t="s">
        <v>314</v>
      </c>
      <c r="C29" s="172" t="s">
        <v>379</v>
      </c>
      <c r="D29" s="173"/>
      <c r="E29" s="174"/>
      <c r="F29" s="23">
        <v>8</v>
      </c>
    </row>
    <row r="30" spans="1:6">
      <c r="A30" s="47"/>
      <c r="B30" s="2" t="s">
        <v>315</v>
      </c>
      <c r="C30" s="153" t="s">
        <v>380</v>
      </c>
      <c r="D30" s="154"/>
      <c r="E30" s="155"/>
      <c r="F30" s="24">
        <v>20</v>
      </c>
    </row>
    <row r="31" spans="1:6">
      <c r="A31" s="47"/>
      <c r="B31" s="2" t="s">
        <v>316</v>
      </c>
      <c r="C31" s="172" t="s">
        <v>381</v>
      </c>
      <c r="D31" s="173"/>
      <c r="E31" s="174"/>
      <c r="F31" s="18">
        <v>1.42</v>
      </c>
    </row>
    <row r="32" spans="1:6">
      <c r="A32" s="47"/>
      <c r="B32" s="2" t="s">
        <v>317</v>
      </c>
      <c r="C32" s="153" t="s">
        <v>382</v>
      </c>
      <c r="D32" s="154"/>
      <c r="E32" s="155"/>
      <c r="F32" s="13">
        <v>45.22</v>
      </c>
    </row>
    <row r="33" spans="1:6" s="47" customFormat="1" ht="15.95" customHeight="1">
      <c r="A33" s="4"/>
      <c r="B33" s="2" t="s">
        <v>318</v>
      </c>
      <c r="C33" s="172" t="s">
        <v>383</v>
      </c>
      <c r="D33" s="173"/>
      <c r="E33" s="174"/>
      <c r="F33" s="18">
        <f>(154800/34808000)*100</f>
        <v>0.44</v>
      </c>
    </row>
    <row r="34" spans="1:6" ht="15.75" customHeight="1">
      <c r="A34" s="47"/>
      <c r="B34" s="2" t="s">
        <v>322</v>
      </c>
      <c r="C34" s="153" t="s">
        <v>384</v>
      </c>
      <c r="D34" s="154"/>
      <c r="E34" s="155"/>
      <c r="F34" s="24">
        <v>15</v>
      </c>
    </row>
    <row r="35" spans="1:6" ht="15.75" customHeight="1">
      <c r="A35" s="47"/>
      <c r="B35" s="2" t="s">
        <v>341</v>
      </c>
      <c r="C35" s="172" t="s">
        <v>385</v>
      </c>
      <c r="D35" s="173"/>
      <c r="E35" s="174"/>
      <c r="F35" s="23">
        <v>180</v>
      </c>
    </row>
    <row r="36" spans="1:6">
      <c r="A36" s="47"/>
      <c r="B36" s="2" t="s">
        <v>343</v>
      </c>
      <c r="C36" s="153" t="s">
        <v>386</v>
      </c>
      <c r="D36" s="154"/>
      <c r="E36" s="155"/>
      <c r="F36" s="13">
        <v>54.78</v>
      </c>
    </row>
    <row r="37" spans="1:6" s="49" customFormat="1" ht="8.25" customHeight="1"/>
    <row r="38" spans="1:6">
      <c r="B38" s="17" t="s">
        <v>387</v>
      </c>
      <c r="C38" s="3"/>
      <c r="D38" s="9"/>
      <c r="E38" s="7"/>
      <c r="F38" s="7"/>
    </row>
    <row r="39" spans="1:6">
      <c r="B39" s="1" t="s">
        <v>361</v>
      </c>
      <c r="C39" s="162" t="s">
        <v>388</v>
      </c>
      <c r="D39" s="162"/>
      <c r="E39" s="162"/>
      <c r="F39" s="39" t="s">
        <v>389</v>
      </c>
    </row>
    <row r="40" spans="1:6">
      <c r="B40" s="1" t="s">
        <v>314</v>
      </c>
      <c r="C40" s="160" t="s">
        <v>390</v>
      </c>
      <c r="D40" s="160"/>
      <c r="E40" s="160"/>
      <c r="F40" s="22" t="e">
        <f>PERC_HORA_EXTRA</f>
        <v>#REF!</v>
      </c>
    </row>
    <row r="41" spans="1:6" ht="15" customHeight="1">
      <c r="B41" s="1" t="s">
        <v>315</v>
      </c>
      <c r="C41" s="153" t="s">
        <v>391</v>
      </c>
      <c r="D41" s="154"/>
      <c r="E41" s="155"/>
      <c r="F41" s="20" t="e">
        <f>TEMPO_INTERVALO_REFEICAO</f>
        <v>#REF!</v>
      </c>
    </row>
    <row r="42" spans="1:6" s="49" customFormat="1"/>
    <row r="43" spans="1:6" ht="20.25">
      <c r="B43" s="10" t="s">
        <v>392</v>
      </c>
      <c r="C43" s="11"/>
      <c r="D43" s="11"/>
      <c r="E43" s="11"/>
      <c r="F43" s="12"/>
    </row>
    <row r="44" spans="1:6" ht="33.75" customHeight="1">
      <c r="B44" s="182" t="s">
        <v>393</v>
      </c>
      <c r="C44" s="182"/>
      <c r="D44" s="182"/>
      <c r="E44" s="182"/>
      <c r="F44" s="182"/>
    </row>
  </sheetData>
  <sheetProtection sheet="1" objects="1" scenarios="1"/>
  <mergeCells count="30">
    <mergeCell ref="B44:F44"/>
    <mergeCell ref="C36:E36"/>
    <mergeCell ref="C39:E39"/>
    <mergeCell ref="C40:E40"/>
    <mergeCell ref="C41:E41"/>
    <mergeCell ref="C35:E35"/>
    <mergeCell ref="C22:E22"/>
    <mergeCell ref="C23:E23"/>
    <mergeCell ref="C24:E24"/>
    <mergeCell ref="C28:E28"/>
    <mergeCell ref="C29:E29"/>
    <mergeCell ref="C30:E30"/>
    <mergeCell ref="C31:E31"/>
    <mergeCell ref="C32:E32"/>
    <mergeCell ref="C33:E33"/>
    <mergeCell ref="C34:E34"/>
    <mergeCell ref="C19:E19"/>
    <mergeCell ref="C20:E20"/>
    <mergeCell ref="C21:E21"/>
    <mergeCell ref="C15:D15"/>
    <mergeCell ref="C16:D16"/>
    <mergeCell ref="C11:E11"/>
    <mergeCell ref="C3:E3"/>
    <mergeCell ref="C4:E4"/>
    <mergeCell ref="C5:E5"/>
    <mergeCell ref="C6:E6"/>
    <mergeCell ref="C7:E7"/>
    <mergeCell ref="C8:E8"/>
    <mergeCell ref="C9:E9"/>
    <mergeCell ref="C10:E10"/>
  </mergeCells>
  <dataValidations count="1">
    <dataValidation allowBlank="1" showInputMessage="1" showErrorMessage="1" promptTitle="Intervalo Intrajornada" prompt="Segundo estudos da Audin-MPU, esse item não é usual nas planilhas do MPU. Verifique se realmente há necessidade de incluí-lo." sqref="F40:F41" xr:uid="{00000000-0002-0000-0E00-000000000000}"/>
  </dataValidation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G34"/>
  <sheetViews>
    <sheetView workbookViewId="0">
      <selection activeCell="C63" sqref="C63:E63"/>
    </sheetView>
  </sheetViews>
  <sheetFormatPr defaultRowHeight="16.5"/>
  <cols>
    <col min="1" max="1" width="2.7109375" style="4" customWidth="1"/>
    <col min="2" max="2" width="8.85546875" style="4" customWidth="1"/>
    <col min="3" max="3" width="52.5703125" style="6" customWidth="1"/>
    <col min="4" max="4" width="22" style="6" customWidth="1"/>
    <col min="5" max="5" width="13.5703125" style="6" customWidth="1"/>
    <col min="6" max="6" width="38.85546875" style="4" customWidth="1"/>
    <col min="7" max="7" width="50.42578125" style="4" customWidth="1"/>
    <col min="8" max="16384" width="9.140625" style="4"/>
  </cols>
  <sheetData>
    <row r="1" spans="2:7" s="47" customFormat="1" ht="25.5">
      <c r="B1" s="48" t="s">
        <v>394</v>
      </c>
      <c r="C1" s="4"/>
      <c r="D1" s="4"/>
      <c r="E1" s="4"/>
      <c r="F1" s="4"/>
      <c r="G1" s="4"/>
    </row>
    <row r="2" spans="2:7">
      <c r="B2" s="17" t="s">
        <v>325</v>
      </c>
      <c r="E2" s="8"/>
    </row>
    <row r="3" spans="2:7">
      <c r="B3" s="17" t="s">
        <v>326</v>
      </c>
      <c r="C3" s="3"/>
      <c r="D3" s="9"/>
      <c r="E3" s="7"/>
    </row>
    <row r="4" spans="2:7">
      <c r="B4" s="1" t="s">
        <v>327</v>
      </c>
      <c r="C4" s="162" t="s">
        <v>328</v>
      </c>
      <c r="D4" s="162"/>
      <c r="E4" s="39" t="s">
        <v>329</v>
      </c>
      <c r="F4" s="39" t="s">
        <v>395</v>
      </c>
    </row>
    <row r="5" spans="2:7">
      <c r="B5" s="1" t="s">
        <v>314</v>
      </c>
      <c r="C5" s="161" t="s">
        <v>330</v>
      </c>
      <c r="D5" s="161"/>
      <c r="E5" s="19">
        <f>(1/MESES_NO_ANO)*100</f>
        <v>8.33</v>
      </c>
      <c r="F5" s="19" t="s">
        <v>396</v>
      </c>
    </row>
    <row r="6" spans="2:7">
      <c r="B6" s="2" t="s">
        <v>315</v>
      </c>
      <c r="C6" s="163" t="s">
        <v>331</v>
      </c>
      <c r="D6" s="163"/>
      <c r="E6" s="14">
        <f>(1/3)/MESES_NO_ANO*100</f>
        <v>2.78</v>
      </c>
      <c r="F6" s="14" t="s">
        <v>397</v>
      </c>
    </row>
    <row r="7" spans="2:7" s="49" customFormat="1">
      <c r="B7" s="183" t="s">
        <v>332</v>
      </c>
      <c r="C7" s="183"/>
      <c r="D7" s="183"/>
      <c r="E7" s="183"/>
      <c r="F7" s="183"/>
    </row>
    <row r="8" spans="2:7" s="49" customFormat="1" ht="34.5" customHeight="1">
      <c r="B8" s="1" t="s">
        <v>333</v>
      </c>
      <c r="C8" s="165" t="s">
        <v>334</v>
      </c>
      <c r="D8" s="165"/>
      <c r="E8" s="39" t="s">
        <v>329</v>
      </c>
    </row>
    <row r="9" spans="2:7">
      <c r="B9" s="1" t="s">
        <v>314</v>
      </c>
      <c r="C9" s="161" t="s">
        <v>335</v>
      </c>
      <c r="D9" s="161"/>
      <c r="E9" s="19">
        <v>20</v>
      </c>
    </row>
    <row r="10" spans="2:7" s="47" customFormat="1">
      <c r="B10" s="2" t="s">
        <v>315</v>
      </c>
      <c r="C10" s="163" t="s">
        <v>336</v>
      </c>
      <c r="D10" s="163"/>
      <c r="E10" s="16">
        <v>2.5</v>
      </c>
    </row>
    <row r="11" spans="2:7" s="47" customFormat="1">
      <c r="B11" s="2" t="s">
        <v>316</v>
      </c>
      <c r="C11" s="161" t="s">
        <v>337</v>
      </c>
      <c r="D11" s="161"/>
      <c r="E11" s="19">
        <v>3</v>
      </c>
    </row>
    <row r="12" spans="2:7" s="47" customFormat="1">
      <c r="B12" s="2" t="s">
        <v>317</v>
      </c>
      <c r="C12" s="163" t="s">
        <v>338</v>
      </c>
      <c r="D12" s="163"/>
      <c r="E12" s="14">
        <v>1.5</v>
      </c>
    </row>
    <row r="13" spans="2:7" s="47" customFormat="1">
      <c r="B13" s="2" t="s">
        <v>318</v>
      </c>
      <c r="C13" s="161" t="s">
        <v>339</v>
      </c>
      <c r="D13" s="161"/>
      <c r="E13" s="19">
        <v>1</v>
      </c>
    </row>
    <row r="14" spans="2:7" s="47" customFormat="1">
      <c r="B14" s="2" t="s">
        <v>322</v>
      </c>
      <c r="C14" s="163" t="s">
        <v>340</v>
      </c>
      <c r="D14" s="163"/>
      <c r="E14" s="16">
        <v>0.6</v>
      </c>
    </row>
    <row r="15" spans="2:7" s="47" customFormat="1">
      <c r="B15" s="2" t="s">
        <v>341</v>
      </c>
      <c r="C15" s="161" t="s">
        <v>342</v>
      </c>
      <c r="D15" s="161"/>
      <c r="E15" s="19">
        <v>0.2</v>
      </c>
    </row>
    <row r="16" spans="2:7">
      <c r="B16" s="2" t="s">
        <v>343</v>
      </c>
      <c r="C16" s="163" t="s">
        <v>344</v>
      </c>
      <c r="D16" s="163"/>
      <c r="E16" s="16">
        <v>8</v>
      </c>
    </row>
    <row r="17" spans="2:7">
      <c r="B17" s="162" t="s">
        <v>16</v>
      </c>
      <c r="C17" s="162"/>
      <c r="D17" s="162"/>
      <c r="E17" s="15">
        <f>SUM(E9:E16)</f>
        <v>36.799999999999997</v>
      </c>
    </row>
    <row r="18" spans="2:7" s="49" customFormat="1">
      <c r="B18" s="17" t="s">
        <v>347</v>
      </c>
      <c r="C18" s="3"/>
      <c r="D18" s="9"/>
      <c r="E18" s="7"/>
    </row>
    <row r="19" spans="2:7" s="49" customFormat="1" ht="15" customHeight="1">
      <c r="B19" s="1">
        <v>3</v>
      </c>
      <c r="C19" s="162" t="s">
        <v>348</v>
      </c>
      <c r="D19" s="162"/>
      <c r="E19" s="39" t="s">
        <v>329</v>
      </c>
      <c r="F19" s="39" t="s">
        <v>395</v>
      </c>
    </row>
    <row r="20" spans="2:7" s="49" customFormat="1">
      <c r="B20" s="1" t="s">
        <v>314</v>
      </c>
      <c r="C20" s="166" t="s">
        <v>349</v>
      </c>
      <c r="D20" s="166"/>
      <c r="E20" s="19">
        <f>PERC_EMPREG_DEMIT_SEM_JUSTA_CAUSA_TOTAL_DESLIG%*PERC_EMPREG_AVISO_PREVIO_IND%*1/MESES_NO_ANO*100</f>
        <v>0.26</v>
      </c>
      <c r="F20" s="19" t="s">
        <v>398</v>
      </c>
    </row>
    <row r="21" spans="2:7" s="49" customFormat="1">
      <c r="B21" s="2" t="s">
        <v>315</v>
      </c>
      <c r="C21" s="167" t="s">
        <v>350</v>
      </c>
      <c r="D21" s="167"/>
      <c r="E21" s="16">
        <f>PERC_EMPREG_DEMIT_SEM_JUSTA_CAUSA_TOTAL_DESLIG%*PERC_EMPREG_AVISO_PREVIO_TRAB%*(DIAS_NA_SEMANA/DIAS_NO_MES)/MESES_NO_ANO*100</f>
        <v>1.03</v>
      </c>
      <c r="F21" s="14" t="s">
        <v>399</v>
      </c>
    </row>
    <row r="22" spans="2:7" s="47" customFormat="1" ht="16.5" customHeight="1">
      <c r="B22" s="2" t="s">
        <v>316</v>
      </c>
      <c r="C22" s="166" t="s">
        <v>351</v>
      </c>
      <c r="D22" s="166"/>
      <c r="E22" s="19">
        <f>ROUNDUP(PERC_AVISO_PREVIO_TRAB%*(PERC_MULTA_FGTS%)*PERC_FGTS%*100,2)</f>
        <v>0.04</v>
      </c>
      <c r="F22" s="19" t="s">
        <v>400</v>
      </c>
    </row>
    <row r="23" spans="2:7" s="47" customFormat="1" ht="15.95" customHeight="1">
      <c r="B23" s="17" t="s">
        <v>352</v>
      </c>
      <c r="C23" s="3"/>
      <c r="D23" s="9"/>
      <c r="E23" s="4"/>
    </row>
    <row r="24" spans="2:7" s="47" customFormat="1" ht="15.95" customHeight="1">
      <c r="B24" s="17" t="s">
        <v>353</v>
      </c>
      <c r="C24" s="3"/>
      <c r="D24" s="9"/>
      <c r="E24" s="7"/>
    </row>
    <row r="25" spans="2:7" s="47" customFormat="1">
      <c r="B25" s="1" t="s">
        <v>354</v>
      </c>
      <c r="C25" s="168" t="s">
        <v>355</v>
      </c>
      <c r="D25" s="168"/>
      <c r="E25" s="39" t="s">
        <v>329</v>
      </c>
      <c r="F25" s="39" t="s">
        <v>395</v>
      </c>
    </row>
    <row r="26" spans="2:7" s="47" customFormat="1" ht="15.95" customHeight="1">
      <c r="B26" s="2" t="s">
        <v>314</v>
      </c>
      <c r="C26" s="161" t="s">
        <v>356</v>
      </c>
      <c r="D26" s="161"/>
      <c r="E26" s="19">
        <f>(1/MESES_NO_ANO)*100</f>
        <v>8.33</v>
      </c>
      <c r="F26" s="19" t="s">
        <v>401</v>
      </c>
    </row>
    <row r="27" spans="2:7" s="47" customFormat="1" ht="15.95" customHeight="1">
      <c r="B27" s="2" t="s">
        <v>315</v>
      </c>
      <c r="C27" s="46" t="s">
        <v>357</v>
      </c>
      <c r="D27" s="46"/>
      <c r="E27" s="16">
        <f>(DIAS_AUSENCIAS_LEGAIS/DIAS_NO_MES)/MESES_NO_ANO*100</f>
        <v>2.2200000000000002</v>
      </c>
      <c r="F27" s="14" t="s">
        <v>402</v>
      </c>
    </row>
    <row r="28" spans="2:7" s="47" customFormat="1" ht="15.95" customHeight="1">
      <c r="B28" s="2" t="s">
        <v>316</v>
      </c>
      <c r="C28" s="161" t="s">
        <v>358</v>
      </c>
      <c r="D28" s="161"/>
      <c r="E28" s="19">
        <f>(((DIAS_LICENCA_PATERNIDADE/DIAS_NO_MES)/MESES_NO_ANO)*PERC_NASCIDOS_VIVOS_POPUL_FEM%*PERC_PARTIC_MASC_VIGIL%)*100</f>
        <v>0.04</v>
      </c>
      <c r="F28" s="19" t="s">
        <v>403</v>
      </c>
    </row>
    <row r="29" spans="2:7" s="47" customFormat="1">
      <c r="B29" s="2" t="s">
        <v>317</v>
      </c>
      <c r="C29" s="163" t="s">
        <v>359</v>
      </c>
      <c r="D29" s="163"/>
      <c r="E29" s="16">
        <f>(DIAS_PAGOS_EMPRESA_ACID_TRAB/DIAS_NO_MES)/MESES_NO_ANO*PERC_EMPREG_AFAST_TRAB%*100</f>
        <v>0.02</v>
      </c>
      <c r="F29" s="14" t="s">
        <v>404</v>
      </c>
    </row>
    <row r="30" spans="2:7" s="47" customFormat="1" ht="33">
      <c r="B30" s="2" t="s">
        <v>318</v>
      </c>
      <c r="C30" s="161" t="s">
        <v>360</v>
      </c>
      <c r="D30" s="161"/>
      <c r="E30" s="19">
        <f>(((DIAS_LICENCA_MATERNIDADE/DIAS_NO_MES)/MESES_NO_ANO)*PERC_NASCIDOS_VIVOS_POPUL_FEM%*PERC_PARTIC_FEM_VIGIL%*PERC_GPS_FGTS%*100)</f>
        <v>0.14000000000000001</v>
      </c>
      <c r="F30" s="19" t="s">
        <v>405</v>
      </c>
    </row>
    <row r="31" spans="2:7" s="47" customFormat="1">
      <c r="B31" s="2" t="s">
        <v>322</v>
      </c>
      <c r="C31" s="163" t="e">
        <f>OUTRAS_AUSENCIAS_DESCRICAO</f>
        <v>#REF!</v>
      </c>
      <c r="D31" s="163"/>
      <c r="E31" s="16" t="e">
        <f>PERC_SUBSTITUTO_OUTRAS_AUSENCIAS</f>
        <v>#REF!</v>
      </c>
      <c r="F31" s="14"/>
      <c r="G31" s="4"/>
    </row>
    <row r="32" spans="2:7">
      <c r="G32" s="12"/>
    </row>
    <row r="33" spans="2:7" ht="20.25">
      <c r="B33" s="10" t="s">
        <v>392</v>
      </c>
      <c r="C33" s="11"/>
      <c r="D33" s="11"/>
      <c r="E33" s="11"/>
      <c r="G33" s="51"/>
    </row>
    <row r="34" spans="2:7" ht="43.5" customHeight="1">
      <c r="B34" s="182" t="s">
        <v>393</v>
      </c>
      <c r="C34" s="182"/>
      <c r="D34" s="182"/>
      <c r="E34" s="182"/>
      <c r="F34" s="182"/>
    </row>
  </sheetData>
  <sheetProtection sheet="1" objects="1" scenarios="1"/>
  <mergeCells count="25">
    <mergeCell ref="B34:F34"/>
    <mergeCell ref="C29:D29"/>
    <mergeCell ref="C30:D30"/>
    <mergeCell ref="C22:D22"/>
    <mergeCell ref="C25:D25"/>
    <mergeCell ref="C26:D26"/>
    <mergeCell ref="C21:D21"/>
    <mergeCell ref="C16:D16"/>
    <mergeCell ref="B17:D17"/>
    <mergeCell ref="C28:D28"/>
    <mergeCell ref="C31:D31"/>
    <mergeCell ref="C8:D8"/>
    <mergeCell ref="C9:D9"/>
    <mergeCell ref="C4:D4"/>
    <mergeCell ref="C5:D5"/>
    <mergeCell ref="C6:D6"/>
    <mergeCell ref="B7:F7"/>
    <mergeCell ref="C15:D15"/>
    <mergeCell ref="C19:D19"/>
    <mergeCell ref="C20:D20"/>
    <mergeCell ref="C10:D10"/>
    <mergeCell ref="C11:D11"/>
    <mergeCell ref="C12:D12"/>
    <mergeCell ref="C13:D13"/>
    <mergeCell ref="C14:D14"/>
  </mergeCells>
  <dataValidations count="2">
    <dataValidation type="decimal" allowBlank="1" showInputMessage="1" showErrorMessage="1" errorTitle="Erro na inserção de dados." error="O percentual do Aviso Prévio Indenizado deverá ser inferior a 0,64%, conforme determinou o Tribunal de Contas da União por meio do Acórdão nº 1.904/2007 - Plenário." sqref="E20" xr:uid="{00000000-0002-0000-0F00-000000000000}">
      <formula1>0</formula1>
      <formula2>0.46</formula2>
    </dataValidation>
    <dataValidation type="decimal" allowBlank="1" showInputMessage="1" showErrorMessage="1" errorTitle="Erro na inserção de dados." error="O percentual do Aviso Prévio Indenizado deverá ser inferior a 1,94%, conforme determinou o Tribunal de Contas da União por meio do Acórdão nº 1.904/2007 - Plenário." sqref="E21" xr:uid="{00000000-0002-0000-0F00-000001000000}">
      <formula1>0</formula1>
      <formula2>1.94</formula2>
    </dataValidation>
  </dataValidations>
  <pageMargins left="0.18" right="0.17" top="0.14000000000000001" bottom="0.04" header="0.15" footer="0.01"/>
  <pageSetup paperSize="9" orientation="landscape" r:id="rId1"/>
  <ignoredErrors>
    <ignoredError sqref="E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34"/>
  <sheetViews>
    <sheetView workbookViewId="0">
      <selection activeCell="R31" sqref="R31"/>
    </sheetView>
  </sheetViews>
  <sheetFormatPr defaultRowHeight="16.5"/>
  <cols>
    <col min="1" max="1" width="9.140625" style="30"/>
    <col min="2" max="2" width="13.5703125" style="30" customWidth="1"/>
    <col min="3" max="10" width="9.7109375" style="30" customWidth="1"/>
    <col min="11" max="16384" width="9.140625" style="30"/>
  </cols>
  <sheetData>
    <row r="1" spans="1:14" ht="17.25">
      <c r="A1" s="36" t="s">
        <v>406</v>
      </c>
      <c r="B1" s="36"/>
      <c r="C1" s="36"/>
      <c r="D1" s="36"/>
      <c r="E1" s="36"/>
      <c r="F1" s="36"/>
      <c r="G1" s="36"/>
      <c r="H1" s="31"/>
      <c r="J1" s="54" t="s">
        <v>407</v>
      </c>
    </row>
    <row r="2" spans="1:14" ht="28.5" customHeight="1">
      <c r="A2" s="188" t="s">
        <v>408</v>
      </c>
      <c r="B2" s="191" t="s">
        <v>409</v>
      </c>
      <c r="C2" s="184" t="s">
        <v>410</v>
      </c>
      <c r="D2" s="185"/>
      <c r="E2" s="184" t="s">
        <v>411</v>
      </c>
      <c r="F2" s="185"/>
      <c r="G2" s="184" t="s">
        <v>412</v>
      </c>
      <c r="H2" s="185"/>
      <c r="I2" s="184" t="s">
        <v>413</v>
      </c>
      <c r="J2" s="185"/>
    </row>
    <row r="3" spans="1:14" ht="12" customHeight="1">
      <c r="A3" s="189"/>
      <c r="B3" s="192"/>
      <c r="C3" s="40">
        <v>600</v>
      </c>
      <c r="D3" s="41" t="s">
        <v>414</v>
      </c>
      <c r="E3" s="40">
        <v>1200</v>
      </c>
      <c r="F3" s="41" t="s">
        <v>414</v>
      </c>
      <c r="G3" s="40">
        <v>220</v>
      </c>
      <c r="H3" s="41" t="s">
        <v>414</v>
      </c>
      <c r="I3" s="40">
        <v>110</v>
      </c>
      <c r="J3" s="41" t="s">
        <v>414</v>
      </c>
    </row>
    <row r="4" spans="1:14" ht="33.75" customHeight="1">
      <c r="A4" s="190"/>
      <c r="B4" s="193"/>
      <c r="C4" s="32" t="s">
        <v>415</v>
      </c>
      <c r="D4" s="32" t="s">
        <v>416</v>
      </c>
      <c r="E4" s="32" t="s">
        <v>415</v>
      </c>
      <c r="F4" s="32" t="s">
        <v>416</v>
      </c>
      <c r="G4" s="32" t="s">
        <v>415</v>
      </c>
      <c r="H4" s="32" t="s">
        <v>416</v>
      </c>
      <c r="I4" s="32" t="s">
        <v>415</v>
      </c>
      <c r="J4" s="32" t="s">
        <v>416</v>
      </c>
    </row>
    <row r="5" spans="1:14">
      <c r="A5" s="1" t="s">
        <v>417</v>
      </c>
      <c r="B5" s="33">
        <v>42979</v>
      </c>
      <c r="C5" s="34">
        <v>4.76</v>
      </c>
      <c r="D5" s="34">
        <v>5.73</v>
      </c>
      <c r="E5" s="34">
        <v>2.38</v>
      </c>
      <c r="F5" s="34">
        <v>2.86</v>
      </c>
      <c r="G5" s="34">
        <v>1.1000000000000001</v>
      </c>
      <c r="H5" s="34">
        <v>1.32</v>
      </c>
      <c r="I5" s="34">
        <v>0.24</v>
      </c>
      <c r="J5" s="34">
        <v>0.28999999999999998</v>
      </c>
    </row>
    <row r="6" spans="1:14">
      <c r="A6" s="1" t="s">
        <v>418</v>
      </c>
      <c r="B6" s="33">
        <v>43805</v>
      </c>
      <c r="C6" s="35">
        <v>5.18</v>
      </c>
      <c r="D6" s="35">
        <v>6.23</v>
      </c>
      <c r="E6" s="35">
        <v>2.59</v>
      </c>
      <c r="F6" s="35">
        <v>3.12</v>
      </c>
      <c r="G6" s="35">
        <v>1.2</v>
      </c>
      <c r="H6" s="35">
        <v>1.44</v>
      </c>
      <c r="I6" s="35">
        <v>0.25</v>
      </c>
      <c r="J6" s="35">
        <v>0.3</v>
      </c>
      <c r="N6" s="59"/>
    </row>
    <row r="7" spans="1:14">
      <c r="A7" s="1" t="s">
        <v>419</v>
      </c>
      <c r="B7" s="33">
        <v>43643</v>
      </c>
      <c r="C7" s="34">
        <v>3.87</v>
      </c>
      <c r="D7" s="34">
        <v>4.66</v>
      </c>
      <c r="E7" s="34">
        <v>2.58</v>
      </c>
      <c r="F7" s="34">
        <v>3.11</v>
      </c>
      <c r="G7" s="34">
        <v>1.72</v>
      </c>
      <c r="H7" s="34">
        <v>2.0699999999999998</v>
      </c>
      <c r="I7" s="34">
        <v>1.1499999999999999</v>
      </c>
      <c r="J7" s="34">
        <v>1.38</v>
      </c>
      <c r="N7" s="58"/>
    </row>
    <row r="8" spans="1:14">
      <c r="A8" s="1" t="s">
        <v>420</v>
      </c>
      <c r="B8" s="33">
        <v>43349</v>
      </c>
      <c r="C8" s="35">
        <v>4.9800000000000004</v>
      </c>
      <c r="D8" s="35">
        <v>5.99</v>
      </c>
      <c r="E8" s="35">
        <v>2.4900000000000002</v>
      </c>
      <c r="F8" s="35">
        <v>3</v>
      </c>
      <c r="G8" s="35">
        <v>1.1499999999999999</v>
      </c>
      <c r="H8" s="35">
        <v>1.39</v>
      </c>
      <c r="I8" s="35">
        <v>0.24</v>
      </c>
      <c r="J8" s="35">
        <v>0.28999999999999998</v>
      </c>
      <c r="N8" s="59"/>
    </row>
    <row r="9" spans="1:14">
      <c r="A9" s="1" t="s">
        <v>421</v>
      </c>
      <c r="B9" s="33">
        <v>42899</v>
      </c>
      <c r="C9" s="34">
        <v>4.6500000000000004</v>
      </c>
      <c r="D9" s="34">
        <v>5.63</v>
      </c>
      <c r="E9" s="34">
        <v>2.3199999999999998</v>
      </c>
      <c r="F9" s="34">
        <v>2.81</v>
      </c>
      <c r="G9" s="34">
        <v>1.07</v>
      </c>
      <c r="H9" s="34">
        <v>1.3</v>
      </c>
      <c r="I9" s="34">
        <v>0.22</v>
      </c>
      <c r="J9" s="34">
        <v>0.27</v>
      </c>
      <c r="N9" s="58"/>
    </row>
    <row r="10" spans="1:14">
      <c r="A10" s="1" t="s">
        <v>422</v>
      </c>
      <c r="B10" s="33">
        <v>43690</v>
      </c>
      <c r="C10" s="35">
        <v>5.71</v>
      </c>
      <c r="D10" s="35">
        <v>6.87</v>
      </c>
      <c r="E10" s="35">
        <v>2.85</v>
      </c>
      <c r="F10" s="35">
        <v>3.44</v>
      </c>
      <c r="G10" s="35">
        <v>1.32</v>
      </c>
      <c r="H10" s="35">
        <v>1.59</v>
      </c>
      <c r="I10" s="35">
        <v>0.27</v>
      </c>
      <c r="J10" s="35">
        <v>0.32</v>
      </c>
      <c r="N10" s="59"/>
    </row>
    <row r="11" spans="1:14">
      <c r="A11" s="1" t="s">
        <v>423</v>
      </c>
      <c r="B11" s="33">
        <v>43593</v>
      </c>
      <c r="C11" s="34">
        <v>5.6</v>
      </c>
      <c r="D11" s="34">
        <v>6.73</v>
      </c>
      <c r="E11" s="34">
        <v>3.73</v>
      </c>
      <c r="F11" s="34">
        <v>4.4800000000000004</v>
      </c>
      <c r="G11" s="34">
        <v>2.4900000000000002</v>
      </c>
      <c r="H11" s="34">
        <v>2.99</v>
      </c>
      <c r="I11" s="34">
        <v>1.66</v>
      </c>
      <c r="J11" s="34">
        <v>1.99</v>
      </c>
      <c r="N11" s="63"/>
    </row>
    <row r="12" spans="1:14">
      <c r="A12" s="1" t="s">
        <v>424</v>
      </c>
      <c r="B12" s="33">
        <v>43234</v>
      </c>
      <c r="C12" s="35">
        <v>6.06</v>
      </c>
      <c r="D12" s="35">
        <v>7.3</v>
      </c>
      <c r="E12" s="35">
        <v>3.03</v>
      </c>
      <c r="F12" s="35">
        <v>3.65</v>
      </c>
      <c r="G12" s="35">
        <v>1.4</v>
      </c>
      <c r="H12" s="35">
        <v>1.69</v>
      </c>
      <c r="I12" s="35">
        <v>0.28000000000000003</v>
      </c>
      <c r="J12" s="35">
        <v>0.34</v>
      </c>
      <c r="N12" s="62"/>
    </row>
    <row r="13" spans="1:14">
      <c r="A13" s="1" t="s">
        <v>425</v>
      </c>
      <c r="B13" s="33">
        <v>43690</v>
      </c>
      <c r="C13" s="34">
        <v>5.26</v>
      </c>
      <c r="D13" s="34">
        <v>6.33</v>
      </c>
      <c r="E13" s="34">
        <v>2.63</v>
      </c>
      <c r="F13" s="34">
        <v>3.17</v>
      </c>
      <c r="G13" s="34">
        <v>1.22</v>
      </c>
      <c r="H13" s="34">
        <v>1.46</v>
      </c>
      <c r="I13" s="34">
        <v>0.41</v>
      </c>
      <c r="J13" s="34">
        <v>0.49</v>
      </c>
      <c r="N13" s="63"/>
    </row>
    <row r="14" spans="1:14">
      <c r="A14" s="1" t="s">
        <v>426</v>
      </c>
      <c r="B14" s="33">
        <v>43349</v>
      </c>
      <c r="C14" s="35">
        <v>5.25</v>
      </c>
      <c r="D14" s="35">
        <v>6.32</v>
      </c>
      <c r="E14" s="35">
        <v>2.63</v>
      </c>
      <c r="F14" s="35">
        <v>3.16</v>
      </c>
      <c r="G14" s="35">
        <v>1.21</v>
      </c>
      <c r="H14" s="35">
        <v>1.46</v>
      </c>
      <c r="I14" s="35">
        <v>0.25</v>
      </c>
      <c r="J14" s="35">
        <v>0.3</v>
      </c>
      <c r="N14" s="62"/>
    </row>
    <row r="15" spans="1:14">
      <c r="A15" s="1" t="s">
        <v>427</v>
      </c>
      <c r="B15" s="33">
        <v>43643</v>
      </c>
      <c r="C15" s="34">
        <v>5.85</v>
      </c>
      <c r="D15" s="34">
        <v>7.04</v>
      </c>
      <c r="E15" s="34">
        <v>2.92</v>
      </c>
      <c r="F15" s="34">
        <v>3.52</v>
      </c>
      <c r="G15" s="34">
        <v>1.35</v>
      </c>
      <c r="H15" s="34">
        <v>1.63</v>
      </c>
      <c r="I15" s="34">
        <v>0.3</v>
      </c>
      <c r="J15" s="34">
        <v>0.36</v>
      </c>
      <c r="N15" s="63"/>
    </row>
    <row r="16" spans="1:14">
      <c r="A16" s="1" t="s">
        <v>428</v>
      </c>
      <c r="B16" s="33">
        <v>43643</v>
      </c>
      <c r="C16" s="35">
        <v>4.92</v>
      </c>
      <c r="D16" s="35">
        <v>5.92</v>
      </c>
      <c r="E16" s="35">
        <v>2.46</v>
      </c>
      <c r="F16" s="35">
        <v>2.96</v>
      </c>
      <c r="G16" s="35">
        <v>1.1399999999999999</v>
      </c>
      <c r="H16" s="35">
        <v>1.37</v>
      </c>
      <c r="I16" s="35">
        <v>0.24</v>
      </c>
      <c r="J16" s="35">
        <v>0.28999999999999998</v>
      </c>
      <c r="N16" s="62"/>
    </row>
    <row r="17" spans="1:15">
      <c r="A17" s="1" t="s">
        <v>429</v>
      </c>
      <c r="B17" s="33">
        <v>43805</v>
      </c>
      <c r="C17" s="34">
        <v>5.82</v>
      </c>
      <c r="D17" s="34">
        <v>7.01</v>
      </c>
      <c r="E17" s="34">
        <v>2.91</v>
      </c>
      <c r="F17" s="34">
        <v>3.5</v>
      </c>
      <c r="G17" s="34">
        <v>1.34</v>
      </c>
      <c r="H17" s="34">
        <v>1.62</v>
      </c>
      <c r="I17" s="34">
        <v>0.31</v>
      </c>
      <c r="J17" s="34">
        <v>0.37</v>
      </c>
      <c r="N17" s="63"/>
      <c r="O17" s="59"/>
    </row>
    <row r="18" spans="1:15">
      <c r="A18" s="1" t="s">
        <v>430</v>
      </c>
      <c r="B18" s="33">
        <v>43690</v>
      </c>
      <c r="C18" s="35">
        <v>5.59</v>
      </c>
      <c r="D18" s="35">
        <v>6.72</v>
      </c>
      <c r="E18" s="35">
        <v>2.79</v>
      </c>
      <c r="F18" s="35">
        <v>3.36</v>
      </c>
      <c r="G18" s="35">
        <v>1.29</v>
      </c>
      <c r="H18" s="35">
        <v>1.55</v>
      </c>
      <c r="I18" s="35">
        <v>0.27</v>
      </c>
      <c r="J18" s="35">
        <v>0.33</v>
      </c>
      <c r="N18" s="62"/>
      <c r="O18" s="58"/>
    </row>
    <row r="19" spans="1:15">
      <c r="A19" s="1" t="s">
        <v>431</v>
      </c>
      <c r="B19" s="33">
        <v>43761</v>
      </c>
      <c r="C19" s="34">
        <v>4.9800000000000004</v>
      </c>
      <c r="D19" s="34">
        <v>6</v>
      </c>
      <c r="E19" s="34">
        <v>2.4900000000000002</v>
      </c>
      <c r="F19" s="34">
        <v>3</v>
      </c>
      <c r="G19" s="34">
        <v>1.1499999999999999</v>
      </c>
      <c r="H19" s="34">
        <v>1.39</v>
      </c>
      <c r="I19" s="34">
        <v>0.24</v>
      </c>
      <c r="J19" s="34">
        <v>0.28999999999999998</v>
      </c>
      <c r="O19" s="59"/>
    </row>
    <row r="20" spans="1:15">
      <c r="A20" s="1" t="s">
        <v>432</v>
      </c>
      <c r="B20" s="33">
        <v>43287</v>
      </c>
      <c r="C20" s="35">
        <v>4.93</v>
      </c>
      <c r="D20" s="35">
        <v>5.94</v>
      </c>
      <c r="E20" s="35">
        <v>2.4700000000000002</v>
      </c>
      <c r="F20" s="35">
        <v>2.97</v>
      </c>
      <c r="G20" s="35">
        <v>1.1399999999999999</v>
      </c>
      <c r="H20" s="35">
        <v>1.37</v>
      </c>
      <c r="I20" s="35">
        <v>0.24</v>
      </c>
      <c r="J20" s="35">
        <v>0.28000000000000003</v>
      </c>
      <c r="O20" s="58"/>
    </row>
    <row r="21" spans="1:15">
      <c r="A21" s="1" t="s">
        <v>433</v>
      </c>
      <c r="B21" s="33">
        <v>43805</v>
      </c>
      <c r="C21" s="34">
        <v>5.23</v>
      </c>
      <c r="D21" s="34">
        <v>6.29</v>
      </c>
      <c r="E21" s="34">
        <v>2.61</v>
      </c>
      <c r="F21" s="34">
        <v>3.15</v>
      </c>
      <c r="G21" s="34">
        <v>1.21</v>
      </c>
      <c r="H21" s="34">
        <v>1.46</v>
      </c>
      <c r="I21" s="34">
        <v>0.28000000000000003</v>
      </c>
      <c r="J21" s="34">
        <v>0.34</v>
      </c>
      <c r="O21" s="59"/>
    </row>
    <row r="22" spans="1:15">
      <c r="A22" s="1" t="s">
        <v>434</v>
      </c>
      <c r="B22" s="33">
        <v>43234</v>
      </c>
      <c r="C22" s="35">
        <v>5.81</v>
      </c>
      <c r="D22" s="35">
        <v>7</v>
      </c>
      <c r="E22" s="35">
        <v>2.91</v>
      </c>
      <c r="F22" s="35">
        <v>3.5</v>
      </c>
      <c r="G22" s="35">
        <v>1.34</v>
      </c>
      <c r="H22" s="35">
        <v>1.62</v>
      </c>
      <c r="I22" s="35">
        <v>0.28000000000000003</v>
      </c>
      <c r="J22" s="35">
        <v>0.33</v>
      </c>
      <c r="O22" s="58"/>
    </row>
    <row r="23" spans="1:15">
      <c r="A23" s="1" t="s">
        <v>435</v>
      </c>
      <c r="B23" s="33">
        <v>43336</v>
      </c>
      <c r="C23" s="34">
        <v>5.95</v>
      </c>
      <c r="D23" s="34">
        <v>7.16</v>
      </c>
      <c r="E23" s="34">
        <v>2.97</v>
      </c>
      <c r="F23" s="34">
        <v>3.58</v>
      </c>
      <c r="G23" s="34">
        <v>1.37</v>
      </c>
      <c r="H23" s="34">
        <v>1.66</v>
      </c>
      <c r="I23" s="34">
        <v>0.34</v>
      </c>
      <c r="J23" s="34">
        <v>0.28000000000000003</v>
      </c>
      <c r="O23" s="59"/>
    </row>
    <row r="24" spans="1:15">
      <c r="A24" s="1" t="s">
        <v>436</v>
      </c>
      <c r="B24" s="33">
        <v>43349</v>
      </c>
      <c r="C24" s="35">
        <v>4.63</v>
      </c>
      <c r="D24" s="35">
        <v>5.57</v>
      </c>
      <c r="E24" s="35">
        <v>2.31</v>
      </c>
      <c r="F24" s="35">
        <v>2.79</v>
      </c>
      <c r="G24" s="35">
        <v>1.07</v>
      </c>
      <c r="H24" s="35">
        <v>1.29</v>
      </c>
      <c r="I24" s="35">
        <v>0.22</v>
      </c>
      <c r="J24" s="35">
        <v>0.26</v>
      </c>
      <c r="O24" s="58"/>
    </row>
    <row r="25" spans="1:15">
      <c r="A25" s="1" t="s">
        <v>437</v>
      </c>
      <c r="B25" s="33">
        <v>43336</v>
      </c>
      <c r="C25" s="34">
        <v>5.59</v>
      </c>
      <c r="D25" s="34">
        <v>6.73</v>
      </c>
      <c r="E25" s="34">
        <v>2.79</v>
      </c>
      <c r="F25" s="34">
        <v>3.36</v>
      </c>
      <c r="G25" s="34">
        <v>1.29</v>
      </c>
      <c r="H25" s="34">
        <v>1.55</v>
      </c>
      <c r="I25" s="34">
        <v>0.3</v>
      </c>
      <c r="J25" s="34">
        <v>0.36</v>
      </c>
    </row>
    <row r="26" spans="1:15">
      <c r="A26" s="1" t="s">
        <v>438</v>
      </c>
      <c r="B26" s="33">
        <v>42989</v>
      </c>
      <c r="C26" s="35">
        <v>5.45</v>
      </c>
      <c r="D26" s="35">
        <v>6.6</v>
      </c>
      <c r="E26" s="35">
        <v>2.72</v>
      </c>
      <c r="F26" s="35">
        <v>3.3</v>
      </c>
      <c r="G26" s="35">
        <v>1.26</v>
      </c>
      <c r="H26" s="35">
        <v>1.53</v>
      </c>
      <c r="I26" s="35">
        <v>0.31</v>
      </c>
      <c r="J26" s="35">
        <v>0.38</v>
      </c>
    </row>
    <row r="27" spans="1:15">
      <c r="A27" s="1" t="s">
        <v>439</v>
      </c>
      <c r="B27" s="33">
        <v>43643</v>
      </c>
      <c r="C27" s="34">
        <v>6.28</v>
      </c>
      <c r="D27" s="34">
        <v>7.56</v>
      </c>
      <c r="E27" s="34">
        <v>3.14</v>
      </c>
      <c r="F27" s="34">
        <v>3.78</v>
      </c>
      <c r="G27" s="34">
        <v>1.45</v>
      </c>
      <c r="H27" s="34">
        <v>1.75</v>
      </c>
      <c r="I27" s="34">
        <v>0.3</v>
      </c>
      <c r="J27" s="34">
        <v>0.36</v>
      </c>
    </row>
    <row r="28" spans="1:15">
      <c r="A28" s="1" t="s">
        <v>440</v>
      </c>
      <c r="B28" s="33">
        <v>43690</v>
      </c>
      <c r="C28" s="35">
        <v>6.61</v>
      </c>
      <c r="D28" s="35">
        <v>7.96</v>
      </c>
      <c r="E28" s="35">
        <v>3.3</v>
      </c>
      <c r="F28" s="35">
        <v>3.98</v>
      </c>
      <c r="G28" s="35">
        <v>1.53</v>
      </c>
      <c r="H28" s="35">
        <v>1.84</v>
      </c>
      <c r="I28" s="35">
        <v>0.32</v>
      </c>
      <c r="J28" s="35">
        <v>0.39</v>
      </c>
    </row>
    <row r="29" spans="1:15">
      <c r="A29" s="1" t="s">
        <v>441</v>
      </c>
      <c r="B29" s="33">
        <v>43761</v>
      </c>
      <c r="C29" s="34">
        <v>4.92</v>
      </c>
      <c r="D29" s="34">
        <v>5.93</v>
      </c>
      <c r="E29" s="34">
        <v>2.46</v>
      </c>
      <c r="F29" s="34">
        <v>2.96</v>
      </c>
      <c r="G29" s="34">
        <v>1.1399999999999999</v>
      </c>
      <c r="H29" s="34">
        <v>1.37</v>
      </c>
      <c r="I29" s="34">
        <v>0.23</v>
      </c>
      <c r="J29" s="34">
        <v>0.28000000000000003</v>
      </c>
    </row>
    <row r="30" spans="1:15">
      <c r="A30" s="1" t="s">
        <v>442</v>
      </c>
      <c r="B30" s="33">
        <v>43761</v>
      </c>
      <c r="C30" s="35">
        <v>5.98</v>
      </c>
      <c r="D30" s="35">
        <v>7.2</v>
      </c>
      <c r="E30" s="35">
        <v>2.99</v>
      </c>
      <c r="F30" s="35">
        <v>3.6</v>
      </c>
      <c r="G30" s="35">
        <v>1.38</v>
      </c>
      <c r="H30" s="35">
        <v>1.67</v>
      </c>
      <c r="I30" s="35">
        <v>0.36</v>
      </c>
      <c r="J30" s="35">
        <v>0.43</v>
      </c>
    </row>
    <row r="31" spans="1:15">
      <c r="A31" s="1" t="s">
        <v>443</v>
      </c>
      <c r="B31" s="33">
        <v>43761</v>
      </c>
      <c r="C31" s="34">
        <v>5.75</v>
      </c>
      <c r="D31" s="34">
        <v>6.92</v>
      </c>
      <c r="E31" s="34">
        <v>2.88</v>
      </c>
      <c r="F31" s="34">
        <v>3.46</v>
      </c>
      <c r="G31" s="34">
        <v>1.33</v>
      </c>
      <c r="H31" s="34">
        <v>1.6</v>
      </c>
      <c r="I31" s="34">
        <v>0.43</v>
      </c>
      <c r="J31" s="34">
        <v>0.52</v>
      </c>
    </row>
    <row r="32" spans="1:15">
      <c r="A32" s="194" t="s">
        <v>444</v>
      </c>
      <c r="B32" s="195"/>
      <c r="C32" s="37">
        <f t="shared" ref="C32:J32" si="0">AVERAGE(C5:C31)</f>
        <v>5.39</v>
      </c>
      <c r="D32" s="37">
        <f t="shared" si="0"/>
        <v>6.49</v>
      </c>
      <c r="E32" s="37">
        <f t="shared" si="0"/>
        <v>2.75</v>
      </c>
      <c r="F32" s="37">
        <f t="shared" si="0"/>
        <v>3.32</v>
      </c>
      <c r="G32" s="37">
        <f t="shared" si="0"/>
        <v>1.32</v>
      </c>
      <c r="H32" s="37">
        <f t="shared" si="0"/>
        <v>1.59</v>
      </c>
      <c r="I32" s="37">
        <f t="shared" si="0"/>
        <v>0.37</v>
      </c>
      <c r="J32" s="37">
        <f t="shared" si="0"/>
        <v>0.44</v>
      </c>
    </row>
    <row r="33" spans="1:10">
      <c r="A33" s="186" t="s">
        <v>445</v>
      </c>
      <c r="B33" s="187"/>
      <c r="C33" s="37">
        <f t="shared" ref="C33:J33" si="1">SMALL(C5:C31,27)</f>
        <v>6.61</v>
      </c>
      <c r="D33" s="37">
        <f t="shared" si="1"/>
        <v>7.96</v>
      </c>
      <c r="E33" s="37">
        <f t="shared" si="1"/>
        <v>3.73</v>
      </c>
      <c r="F33" s="37">
        <f t="shared" si="1"/>
        <v>4.4800000000000004</v>
      </c>
      <c r="G33" s="37">
        <f t="shared" si="1"/>
        <v>2.4900000000000002</v>
      </c>
      <c r="H33" s="37">
        <f t="shared" si="1"/>
        <v>2.99</v>
      </c>
      <c r="I33" s="37">
        <f t="shared" si="1"/>
        <v>1.66</v>
      </c>
      <c r="J33" s="37">
        <f t="shared" si="1"/>
        <v>1.99</v>
      </c>
    </row>
    <row r="34" spans="1:10">
      <c r="A34" s="186" t="s">
        <v>446</v>
      </c>
      <c r="B34" s="187"/>
      <c r="C34" s="37">
        <f t="shared" ref="C34:J34" si="2">LARGE(C6:C32,27)</f>
        <v>3.87</v>
      </c>
      <c r="D34" s="37">
        <f t="shared" si="2"/>
        <v>4.66</v>
      </c>
      <c r="E34" s="37">
        <f t="shared" si="2"/>
        <v>2.31</v>
      </c>
      <c r="F34" s="37">
        <f t="shared" si="2"/>
        <v>2.79</v>
      </c>
      <c r="G34" s="37">
        <f t="shared" si="2"/>
        <v>1.07</v>
      </c>
      <c r="H34" s="37">
        <f t="shared" si="2"/>
        <v>1.29</v>
      </c>
      <c r="I34" s="37">
        <f t="shared" si="2"/>
        <v>0.22</v>
      </c>
      <c r="J34" s="37">
        <f t="shared" si="2"/>
        <v>0.26</v>
      </c>
    </row>
  </sheetData>
  <sheetProtection sheet="1" objects="1" scenarios="1"/>
  <mergeCells count="9">
    <mergeCell ref="I2:J2"/>
    <mergeCell ref="A33:B33"/>
    <mergeCell ref="A34:B34"/>
    <mergeCell ref="A2:A4"/>
    <mergeCell ref="B2:B4"/>
    <mergeCell ref="A32:B32"/>
    <mergeCell ref="C2:D2"/>
    <mergeCell ref="E2:F2"/>
    <mergeCell ref="G2:H2"/>
  </mergeCells>
  <printOptions horizontalCentered="1" verticalCentered="1"/>
  <pageMargins left="0.15748031496062992" right="0.15748031496062992" top="0.17" bottom="0.17" header="0.17" footer="0.17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G41"/>
  <sheetViews>
    <sheetView zoomScaleNormal="100" workbookViewId="0">
      <pane xSplit="2" ySplit="5" topLeftCell="C6" activePane="bottomRight" state="frozen"/>
      <selection pane="topRight" sqref="A1:B1"/>
      <selection pane="bottomLeft" sqref="A1:B1"/>
      <selection pane="bottomRight" activeCell="AA16" sqref="AA16"/>
    </sheetView>
  </sheetViews>
  <sheetFormatPr defaultRowHeight="16.5"/>
  <cols>
    <col min="1" max="1" width="4.42578125" style="30" customWidth="1"/>
    <col min="2" max="2" width="10.42578125" style="30" customWidth="1"/>
    <col min="3" max="3" width="7.42578125" style="30" bestFit="1" customWidth="1"/>
    <col min="4" max="10" width="7" style="30" customWidth="1"/>
    <col min="11" max="11" width="7.42578125" style="30" bestFit="1" customWidth="1"/>
    <col min="12" max="18" width="7" style="30" customWidth="1"/>
    <col min="19" max="16384" width="9.140625" style="30"/>
  </cols>
  <sheetData>
    <row r="1" spans="1:21" ht="17.25">
      <c r="A1" s="36" t="s">
        <v>447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1"/>
      <c r="M1" s="31"/>
      <c r="N1" s="31"/>
      <c r="Q1" s="31"/>
      <c r="R1" s="54" t="s">
        <v>407</v>
      </c>
    </row>
    <row r="2" spans="1:21" ht="16.5" customHeight="1">
      <c r="A2" s="188" t="s">
        <v>408</v>
      </c>
      <c r="B2" s="191" t="s">
        <v>409</v>
      </c>
      <c r="C2" s="184" t="s">
        <v>448</v>
      </c>
      <c r="D2" s="197"/>
      <c r="E2" s="197"/>
      <c r="F2" s="198"/>
      <c r="G2" s="196" t="s">
        <v>449</v>
      </c>
      <c r="H2" s="197"/>
      <c r="I2" s="197"/>
      <c r="J2" s="198"/>
      <c r="K2" s="196" t="s">
        <v>450</v>
      </c>
      <c r="L2" s="197"/>
      <c r="M2" s="197"/>
      <c r="N2" s="198"/>
      <c r="O2" s="196" t="s">
        <v>451</v>
      </c>
      <c r="P2" s="197"/>
      <c r="Q2" s="197"/>
      <c r="R2" s="197"/>
    </row>
    <row r="3" spans="1:21" ht="6.75" customHeight="1">
      <c r="A3" s="189"/>
      <c r="B3" s="192"/>
      <c r="C3" s="202"/>
      <c r="D3" s="203"/>
      <c r="E3" s="203"/>
      <c r="F3" s="204"/>
      <c r="G3" s="199"/>
      <c r="H3" s="200"/>
      <c r="I3" s="200"/>
      <c r="J3" s="201"/>
      <c r="K3" s="199"/>
      <c r="L3" s="200"/>
      <c r="M3" s="200"/>
      <c r="N3" s="201"/>
      <c r="O3" s="199"/>
      <c r="P3" s="200"/>
      <c r="Q3" s="200"/>
      <c r="R3" s="200"/>
    </row>
    <row r="4" spans="1:21" ht="16.5" customHeight="1">
      <c r="A4" s="189"/>
      <c r="B4" s="192"/>
      <c r="C4" s="42">
        <v>800</v>
      </c>
      <c r="D4" s="44" t="s">
        <v>452</v>
      </c>
      <c r="E4" s="42">
        <v>1200</v>
      </c>
      <c r="F4" s="43" t="s">
        <v>452</v>
      </c>
      <c r="G4" s="42">
        <v>1800</v>
      </c>
      <c r="H4" s="44" t="s">
        <v>452</v>
      </c>
      <c r="I4" s="42">
        <v>2700</v>
      </c>
      <c r="J4" s="43" t="s">
        <v>452</v>
      </c>
      <c r="K4" s="42">
        <v>300</v>
      </c>
      <c r="L4" s="44" t="s">
        <v>452</v>
      </c>
      <c r="M4" s="42">
        <v>380</v>
      </c>
      <c r="N4" s="43" t="s">
        <v>452</v>
      </c>
      <c r="O4" s="42">
        <v>130</v>
      </c>
      <c r="P4" s="44" t="s">
        <v>452</v>
      </c>
      <c r="Q4" s="42">
        <v>160</v>
      </c>
      <c r="R4" s="43" t="s">
        <v>452</v>
      </c>
    </row>
    <row r="5" spans="1:21" ht="33">
      <c r="A5" s="190"/>
      <c r="B5" s="193"/>
      <c r="C5" s="32" t="s">
        <v>453</v>
      </c>
      <c r="D5" s="32" t="s">
        <v>454</v>
      </c>
      <c r="E5" s="32" t="s">
        <v>453</v>
      </c>
      <c r="F5" s="32" t="s">
        <v>454</v>
      </c>
      <c r="G5" s="32" t="s">
        <v>453</v>
      </c>
      <c r="H5" s="32" t="s">
        <v>454</v>
      </c>
      <c r="I5" s="32" t="s">
        <v>453</v>
      </c>
      <c r="J5" s="32" t="s">
        <v>454</v>
      </c>
      <c r="K5" s="32" t="s">
        <v>453</v>
      </c>
      <c r="L5" s="32" t="s">
        <v>454</v>
      </c>
      <c r="M5" s="32" t="s">
        <v>453</v>
      </c>
      <c r="N5" s="32" t="s">
        <v>454</v>
      </c>
      <c r="O5" s="32" t="s">
        <v>453</v>
      </c>
      <c r="P5" s="32" t="s">
        <v>454</v>
      </c>
      <c r="Q5" s="32" t="s">
        <v>453</v>
      </c>
      <c r="R5" s="32" t="s">
        <v>454</v>
      </c>
    </row>
    <row r="6" spans="1:21">
      <c r="A6" s="1" t="s">
        <v>417</v>
      </c>
      <c r="B6" s="38">
        <v>43349</v>
      </c>
      <c r="C6" s="34">
        <v>3.57</v>
      </c>
      <c r="D6" s="34">
        <v>4.3</v>
      </c>
      <c r="E6" s="34">
        <v>2.38</v>
      </c>
      <c r="F6" s="34">
        <v>2.86</v>
      </c>
      <c r="G6" s="34">
        <v>1.59</v>
      </c>
      <c r="H6" s="34">
        <v>1.98</v>
      </c>
      <c r="I6" s="34">
        <v>1.06</v>
      </c>
      <c r="J6" s="34">
        <v>1.27</v>
      </c>
      <c r="K6" s="34">
        <v>0.81</v>
      </c>
      <c r="L6" s="34">
        <v>0.97</v>
      </c>
      <c r="M6" s="34">
        <v>0.64</v>
      </c>
      <c r="N6" s="34">
        <v>0.77</v>
      </c>
      <c r="O6" s="34">
        <v>0.2</v>
      </c>
      <c r="P6" s="34">
        <v>0.24</v>
      </c>
      <c r="Q6" s="34">
        <v>0.17</v>
      </c>
      <c r="R6" s="34">
        <v>0.2</v>
      </c>
    </row>
    <row r="7" spans="1:21">
      <c r="A7" s="1" t="s">
        <v>418</v>
      </c>
      <c r="B7" s="38">
        <v>43805</v>
      </c>
      <c r="C7" s="35">
        <v>3.88</v>
      </c>
      <c r="D7" s="35">
        <v>4.67</v>
      </c>
      <c r="E7" s="35">
        <v>2.59</v>
      </c>
      <c r="F7" s="35">
        <v>3.12</v>
      </c>
      <c r="G7" s="35">
        <v>1.73</v>
      </c>
      <c r="H7" s="35">
        <v>2.08</v>
      </c>
      <c r="I7" s="35">
        <v>1.1499999999999999</v>
      </c>
      <c r="J7" s="35">
        <v>1.38</v>
      </c>
      <c r="K7" s="35">
        <v>0.88</v>
      </c>
      <c r="L7" s="35">
        <v>1.06</v>
      </c>
      <c r="M7" s="35">
        <v>0.69</v>
      </c>
      <c r="N7" s="35">
        <v>0.83</v>
      </c>
      <c r="O7" s="35">
        <v>0.21</v>
      </c>
      <c r="P7" s="35">
        <v>0.25</v>
      </c>
      <c r="Q7" s="35">
        <v>0.17</v>
      </c>
      <c r="R7" s="35">
        <v>0.21</v>
      </c>
    </row>
    <row r="8" spans="1:21">
      <c r="A8" s="1" t="s">
        <v>419</v>
      </c>
      <c r="B8" s="38">
        <v>43643</v>
      </c>
      <c r="C8" s="34">
        <v>3.87</v>
      </c>
      <c r="D8" s="34">
        <v>4.66</v>
      </c>
      <c r="E8" s="34">
        <v>2.58</v>
      </c>
      <c r="F8" s="34">
        <v>3.11</v>
      </c>
      <c r="G8" s="34">
        <v>1.72</v>
      </c>
      <c r="H8" s="34">
        <v>2.0699999999999998</v>
      </c>
      <c r="I8" s="34">
        <v>1.1499999999999999</v>
      </c>
      <c r="J8" s="34">
        <v>1.38</v>
      </c>
      <c r="K8" s="34">
        <v>0.88</v>
      </c>
      <c r="L8" s="34">
        <v>1.05</v>
      </c>
      <c r="M8" s="34">
        <v>0.69</v>
      </c>
      <c r="N8" s="34">
        <v>0.83</v>
      </c>
      <c r="O8" s="34">
        <v>0.26</v>
      </c>
      <c r="P8" s="34">
        <v>0.31</v>
      </c>
      <c r="Q8" s="34">
        <v>0.21</v>
      </c>
      <c r="R8" s="34">
        <v>0.26</v>
      </c>
    </row>
    <row r="9" spans="1:21">
      <c r="A9" s="1" t="s">
        <v>420</v>
      </c>
      <c r="B9" s="38">
        <v>43349</v>
      </c>
      <c r="C9" s="35">
        <v>3.73</v>
      </c>
      <c r="D9" s="35">
        <v>4.5</v>
      </c>
      <c r="E9" s="35">
        <v>2.4900000000000002</v>
      </c>
      <c r="F9" s="35">
        <v>3</v>
      </c>
      <c r="G9" s="35">
        <v>1.66</v>
      </c>
      <c r="H9" s="35">
        <v>2</v>
      </c>
      <c r="I9" s="35">
        <v>1.1100000000000001</v>
      </c>
      <c r="J9" s="35">
        <v>1.33</v>
      </c>
      <c r="K9" s="35">
        <v>0.84</v>
      </c>
      <c r="L9" s="35">
        <v>1.02</v>
      </c>
      <c r="M9" s="35">
        <v>0.67</v>
      </c>
      <c r="N9" s="35">
        <v>0.8</v>
      </c>
      <c r="O9" s="35">
        <v>0.2</v>
      </c>
      <c r="P9" s="35">
        <v>0.24</v>
      </c>
      <c r="Q9" s="35">
        <v>0.17</v>
      </c>
      <c r="R9" s="35">
        <v>0.2</v>
      </c>
      <c r="U9" s="59"/>
    </row>
    <row r="10" spans="1:21">
      <c r="A10" s="1" t="s">
        <v>421</v>
      </c>
      <c r="B10" s="38">
        <v>43013</v>
      </c>
      <c r="C10" s="34">
        <v>3.49</v>
      </c>
      <c r="D10" s="34">
        <v>4.22</v>
      </c>
      <c r="E10" s="34">
        <v>2.3199999999999998</v>
      </c>
      <c r="F10" s="34">
        <v>2.81</v>
      </c>
      <c r="G10" s="34">
        <v>1.55</v>
      </c>
      <c r="H10" s="34">
        <v>1.88</v>
      </c>
      <c r="I10" s="34">
        <v>1.03</v>
      </c>
      <c r="J10" s="34">
        <v>1.25</v>
      </c>
      <c r="K10" s="34">
        <v>0.79</v>
      </c>
      <c r="L10" s="34">
        <v>0.95</v>
      </c>
      <c r="M10" s="34">
        <v>0.62</v>
      </c>
      <c r="N10" s="34">
        <v>0.75</v>
      </c>
      <c r="O10" s="34">
        <v>0.19</v>
      </c>
      <c r="P10" s="34">
        <v>0.23</v>
      </c>
      <c r="Q10" s="34">
        <v>0.15</v>
      </c>
      <c r="R10" s="34">
        <v>0.18</v>
      </c>
      <c r="U10" s="58"/>
    </row>
    <row r="11" spans="1:21">
      <c r="A11" s="1" t="s">
        <v>422</v>
      </c>
      <c r="B11" s="38">
        <v>43690</v>
      </c>
      <c r="C11" s="35">
        <v>4.28</v>
      </c>
      <c r="D11" s="35">
        <v>5.15</v>
      </c>
      <c r="E11" s="35">
        <v>2.85</v>
      </c>
      <c r="F11" s="35">
        <v>3.44</v>
      </c>
      <c r="G11" s="35">
        <v>1.9</v>
      </c>
      <c r="H11" s="35">
        <v>2.29</v>
      </c>
      <c r="I11" s="35">
        <v>1.27</v>
      </c>
      <c r="J11" s="35">
        <v>1.53</v>
      </c>
      <c r="K11" s="35">
        <v>0.97</v>
      </c>
      <c r="L11" s="35">
        <v>1.1599999999999999</v>
      </c>
      <c r="M11" s="35">
        <v>0.76</v>
      </c>
      <c r="N11" s="35">
        <v>0.92</v>
      </c>
      <c r="O11" s="35">
        <v>0.23</v>
      </c>
      <c r="P11" s="35">
        <v>0.27</v>
      </c>
      <c r="Q11" s="35">
        <v>0.18</v>
      </c>
      <c r="R11" s="35">
        <v>0.22</v>
      </c>
      <c r="U11" s="59"/>
    </row>
    <row r="12" spans="1:21">
      <c r="A12" s="1" t="s">
        <v>423</v>
      </c>
      <c r="B12" s="38">
        <v>43593</v>
      </c>
      <c r="C12" s="34">
        <v>5.6</v>
      </c>
      <c r="D12" s="34">
        <v>6.73</v>
      </c>
      <c r="E12" s="34">
        <v>3.73</v>
      </c>
      <c r="F12" s="34">
        <v>4.4800000000000004</v>
      </c>
      <c r="G12" s="34">
        <v>2.4900000000000002</v>
      </c>
      <c r="H12" s="34">
        <v>2.99</v>
      </c>
      <c r="I12" s="34">
        <v>1.66</v>
      </c>
      <c r="J12" s="34">
        <v>1.99</v>
      </c>
      <c r="K12" s="34">
        <v>1.26</v>
      </c>
      <c r="L12" s="34">
        <v>1.52</v>
      </c>
      <c r="M12" s="34">
        <v>1</v>
      </c>
      <c r="N12" s="34">
        <v>1.2</v>
      </c>
      <c r="O12" s="34">
        <v>0.4</v>
      </c>
      <c r="P12" s="34">
        <v>0.48</v>
      </c>
      <c r="Q12" s="34">
        <v>0.33</v>
      </c>
      <c r="R12" s="34">
        <v>0.39</v>
      </c>
      <c r="U12" s="58"/>
    </row>
    <row r="13" spans="1:21">
      <c r="A13" s="1" t="s">
        <v>424</v>
      </c>
      <c r="B13" s="38">
        <v>43234</v>
      </c>
      <c r="C13" s="35">
        <v>4.55</v>
      </c>
      <c r="D13" s="35">
        <v>5.48</v>
      </c>
      <c r="E13" s="35">
        <v>3.03</v>
      </c>
      <c r="F13" s="35">
        <v>3.65</v>
      </c>
      <c r="G13" s="35">
        <v>2.02</v>
      </c>
      <c r="H13" s="35">
        <v>2.4300000000000002</v>
      </c>
      <c r="I13" s="35">
        <v>1.35</v>
      </c>
      <c r="J13" s="35">
        <v>1.62</v>
      </c>
      <c r="K13" s="35">
        <v>1.03</v>
      </c>
      <c r="L13" s="35">
        <v>1.24</v>
      </c>
      <c r="M13" s="35">
        <v>0.81</v>
      </c>
      <c r="N13" s="35">
        <v>0.98</v>
      </c>
      <c r="O13" s="35">
        <v>0.24</v>
      </c>
      <c r="P13" s="35">
        <v>0.28999999999999998</v>
      </c>
      <c r="Q13" s="35">
        <v>0.19</v>
      </c>
      <c r="R13" s="35">
        <v>0.23</v>
      </c>
      <c r="U13" s="59"/>
    </row>
    <row r="14" spans="1:21">
      <c r="A14" s="1" t="s">
        <v>425</v>
      </c>
      <c r="B14" s="38">
        <v>43690</v>
      </c>
      <c r="C14" s="34">
        <v>3.94</v>
      </c>
      <c r="D14" s="34">
        <v>4.75</v>
      </c>
      <c r="E14" s="34">
        <v>2.63</v>
      </c>
      <c r="F14" s="34">
        <v>3.17</v>
      </c>
      <c r="G14" s="34">
        <v>1.75</v>
      </c>
      <c r="H14" s="34">
        <v>2.11</v>
      </c>
      <c r="I14" s="34">
        <v>1.17</v>
      </c>
      <c r="J14" s="34">
        <v>1.41</v>
      </c>
      <c r="K14" s="34">
        <v>0.89</v>
      </c>
      <c r="L14" s="34">
        <v>1.07</v>
      </c>
      <c r="M14" s="34">
        <v>0.7</v>
      </c>
      <c r="N14" s="34">
        <v>0.85</v>
      </c>
      <c r="O14" s="34">
        <v>0.34</v>
      </c>
      <c r="P14" s="34">
        <v>0.41</v>
      </c>
      <c r="Q14" s="34">
        <v>0.28000000000000003</v>
      </c>
      <c r="R14" s="34">
        <v>0.33</v>
      </c>
      <c r="U14" s="58"/>
    </row>
    <row r="15" spans="1:21">
      <c r="A15" s="1" t="s">
        <v>426</v>
      </c>
      <c r="B15" s="38">
        <v>43349</v>
      </c>
      <c r="C15" s="35">
        <v>3.94</v>
      </c>
      <c r="D15" s="35">
        <v>4.74</v>
      </c>
      <c r="E15" s="35">
        <v>2.63</v>
      </c>
      <c r="F15" s="35">
        <v>3.16</v>
      </c>
      <c r="G15" s="35">
        <v>1.75</v>
      </c>
      <c r="H15" s="35">
        <v>2.11</v>
      </c>
      <c r="I15" s="35">
        <v>1.17</v>
      </c>
      <c r="J15" s="35">
        <v>1.4</v>
      </c>
      <c r="K15" s="35">
        <v>0.89</v>
      </c>
      <c r="L15" s="35">
        <v>1.07</v>
      </c>
      <c r="M15" s="35">
        <v>0.7</v>
      </c>
      <c r="N15" s="35">
        <v>0.85</v>
      </c>
      <c r="O15" s="35">
        <v>0.21</v>
      </c>
      <c r="P15" s="35">
        <v>0.25</v>
      </c>
      <c r="Q15" s="35">
        <v>0.17</v>
      </c>
      <c r="R15" s="35">
        <v>0.21</v>
      </c>
      <c r="U15" s="59"/>
    </row>
    <row r="16" spans="1:21">
      <c r="A16" s="1" t="s">
        <v>427</v>
      </c>
      <c r="B16" s="38">
        <v>43643</v>
      </c>
      <c r="C16" s="34">
        <v>4.38</v>
      </c>
      <c r="D16" s="34">
        <v>5.28</v>
      </c>
      <c r="E16" s="34">
        <v>2.92</v>
      </c>
      <c r="F16" s="34">
        <v>3.52</v>
      </c>
      <c r="G16" s="34">
        <v>1.95</v>
      </c>
      <c r="H16" s="34">
        <v>2.35</v>
      </c>
      <c r="I16" s="34">
        <v>1.3</v>
      </c>
      <c r="J16" s="34">
        <v>1.56</v>
      </c>
      <c r="K16" s="34">
        <v>0.99</v>
      </c>
      <c r="L16" s="34">
        <v>1.19</v>
      </c>
      <c r="M16" s="34">
        <v>0.78</v>
      </c>
      <c r="N16" s="34">
        <v>0.94</v>
      </c>
      <c r="O16" s="34">
        <v>0.25</v>
      </c>
      <c r="P16" s="34">
        <v>0.3</v>
      </c>
      <c r="Q16" s="34">
        <v>0.21</v>
      </c>
      <c r="R16" s="34">
        <v>0.25</v>
      </c>
      <c r="U16" s="58"/>
    </row>
    <row r="17" spans="1:33">
      <c r="A17" s="1" t="s">
        <v>428</v>
      </c>
      <c r="B17" s="38">
        <v>43735</v>
      </c>
      <c r="C17" s="35">
        <v>3.69</v>
      </c>
      <c r="D17" s="35">
        <v>4.4400000000000004</v>
      </c>
      <c r="E17" s="35">
        <v>2.46</v>
      </c>
      <c r="F17" s="35">
        <v>2.96</v>
      </c>
      <c r="G17" s="35">
        <v>1.64</v>
      </c>
      <c r="H17" s="35">
        <v>1.97</v>
      </c>
      <c r="I17" s="35">
        <v>1.0900000000000001</v>
      </c>
      <c r="J17" s="35">
        <v>1.32</v>
      </c>
      <c r="K17" s="35">
        <v>0.83</v>
      </c>
      <c r="L17" s="35">
        <v>1</v>
      </c>
      <c r="M17" s="35">
        <v>0.66</v>
      </c>
      <c r="N17" s="35">
        <v>0.79</v>
      </c>
      <c r="O17" s="35">
        <v>0.21</v>
      </c>
      <c r="P17" s="35">
        <v>0.25</v>
      </c>
      <c r="Q17" s="35">
        <v>0.17</v>
      </c>
      <c r="R17" s="35">
        <v>0.2</v>
      </c>
    </row>
    <row r="18" spans="1:33">
      <c r="A18" s="1" t="s">
        <v>429</v>
      </c>
      <c r="B18" s="38">
        <v>43805</v>
      </c>
      <c r="C18" s="34">
        <v>4.3600000000000003</v>
      </c>
      <c r="D18" s="34">
        <v>5.25</v>
      </c>
      <c r="E18" s="34">
        <v>2.91</v>
      </c>
      <c r="F18" s="34">
        <v>3.5</v>
      </c>
      <c r="G18" s="34">
        <v>1.94</v>
      </c>
      <c r="H18" s="34">
        <v>2.34</v>
      </c>
      <c r="I18" s="34">
        <v>1.29</v>
      </c>
      <c r="J18" s="34">
        <v>1.56</v>
      </c>
      <c r="K18" s="34">
        <v>0.99</v>
      </c>
      <c r="L18" s="34">
        <v>1.19</v>
      </c>
      <c r="M18" s="34">
        <v>0.78</v>
      </c>
      <c r="N18" s="34">
        <v>0.94</v>
      </c>
      <c r="O18" s="34">
        <v>0.26</v>
      </c>
      <c r="P18" s="34">
        <v>0.31</v>
      </c>
      <c r="Q18" s="34">
        <v>0.21</v>
      </c>
      <c r="R18" s="34">
        <v>0.25</v>
      </c>
    </row>
    <row r="19" spans="1:33">
      <c r="A19" s="1" t="s">
        <v>430</v>
      </c>
      <c r="B19" s="38">
        <v>43690</v>
      </c>
      <c r="C19" s="35">
        <v>4.1900000000000004</v>
      </c>
      <c r="D19" s="35">
        <v>5.04</v>
      </c>
      <c r="E19" s="35">
        <v>2.79</v>
      </c>
      <c r="F19" s="35">
        <v>3.36</v>
      </c>
      <c r="G19" s="35">
        <v>1.86</v>
      </c>
      <c r="H19" s="35">
        <v>2.2400000000000002</v>
      </c>
      <c r="I19" s="35">
        <v>1.24</v>
      </c>
      <c r="J19" s="35">
        <v>1.49</v>
      </c>
      <c r="K19" s="35">
        <v>0.95</v>
      </c>
      <c r="L19" s="35">
        <v>1.1399999999999999</v>
      </c>
      <c r="M19" s="35">
        <v>0.75</v>
      </c>
      <c r="N19" s="35">
        <v>0.9</v>
      </c>
      <c r="O19" s="35">
        <v>0.23</v>
      </c>
      <c r="P19" s="35">
        <v>0.28000000000000003</v>
      </c>
      <c r="Q19" s="35">
        <v>0.19</v>
      </c>
      <c r="R19" s="35">
        <v>0.22</v>
      </c>
    </row>
    <row r="20" spans="1:33">
      <c r="A20" s="1" t="s">
        <v>431</v>
      </c>
      <c r="B20" s="38">
        <v>43761</v>
      </c>
      <c r="C20" s="34">
        <v>3.74</v>
      </c>
      <c r="D20" s="34">
        <v>4.5</v>
      </c>
      <c r="E20" s="34">
        <v>2.4900000000000002</v>
      </c>
      <c r="F20" s="34">
        <v>3</v>
      </c>
      <c r="G20" s="34">
        <v>1.66</v>
      </c>
      <c r="H20" s="34">
        <v>2</v>
      </c>
      <c r="I20" s="34">
        <v>1.1100000000000001</v>
      </c>
      <c r="J20" s="34">
        <v>1.33</v>
      </c>
      <c r="K20" s="34">
        <v>0.84</v>
      </c>
      <c r="L20" s="34">
        <v>1.02</v>
      </c>
      <c r="M20" s="34">
        <v>0.67</v>
      </c>
      <c r="N20" s="34">
        <v>0.8</v>
      </c>
      <c r="O20" s="34">
        <v>0.2</v>
      </c>
      <c r="P20" s="34">
        <v>0.24</v>
      </c>
      <c r="Q20" s="34">
        <v>0.17</v>
      </c>
      <c r="R20" s="34">
        <v>0.2</v>
      </c>
    </row>
    <row r="21" spans="1:33">
      <c r="A21" s="1" t="s">
        <v>432</v>
      </c>
      <c r="B21" s="38">
        <v>43287</v>
      </c>
      <c r="C21" s="35">
        <v>3.7</v>
      </c>
      <c r="D21" s="35">
        <v>4.45</v>
      </c>
      <c r="E21" s="35">
        <v>2.4700000000000002</v>
      </c>
      <c r="F21" s="35">
        <v>2.97</v>
      </c>
      <c r="G21" s="35">
        <v>1.64</v>
      </c>
      <c r="H21" s="35">
        <v>1.98</v>
      </c>
      <c r="I21" s="35">
        <v>1.1000000000000001</v>
      </c>
      <c r="J21" s="35">
        <v>1.32</v>
      </c>
      <c r="K21" s="35">
        <v>0.84</v>
      </c>
      <c r="L21" s="35">
        <v>1.01</v>
      </c>
      <c r="M21" s="35">
        <v>0.66</v>
      </c>
      <c r="N21" s="35">
        <v>0.79</v>
      </c>
      <c r="O21" s="35">
        <v>0.2</v>
      </c>
      <c r="P21" s="35">
        <v>0.24</v>
      </c>
      <c r="Q21" s="35">
        <v>0.16</v>
      </c>
      <c r="R21" s="35">
        <v>0.2</v>
      </c>
    </row>
    <row r="22" spans="1:33">
      <c r="A22" s="1" t="s">
        <v>433</v>
      </c>
      <c r="B22" s="38">
        <v>43805</v>
      </c>
      <c r="C22" s="34">
        <v>3.92</v>
      </c>
      <c r="D22" s="34">
        <v>4.72</v>
      </c>
      <c r="E22" s="34">
        <v>2.61</v>
      </c>
      <c r="F22" s="34">
        <v>3.15</v>
      </c>
      <c r="G22" s="34">
        <v>1.74</v>
      </c>
      <c r="H22" s="34">
        <v>2.1</v>
      </c>
      <c r="I22" s="34">
        <v>1.1599999999999999</v>
      </c>
      <c r="J22" s="34">
        <v>1.4</v>
      </c>
      <c r="K22" s="34">
        <v>0.89</v>
      </c>
      <c r="L22" s="34">
        <v>1.07</v>
      </c>
      <c r="M22" s="34">
        <v>0.7</v>
      </c>
      <c r="N22" s="34">
        <v>0.84</v>
      </c>
      <c r="O22" s="34">
        <v>0.24</v>
      </c>
      <c r="P22" s="34">
        <v>0.28000000000000003</v>
      </c>
      <c r="Q22" s="34">
        <v>0.19</v>
      </c>
      <c r="R22" s="34">
        <v>0.23</v>
      </c>
    </row>
    <row r="23" spans="1:33">
      <c r="A23" s="1" t="s">
        <v>434</v>
      </c>
      <c r="B23" s="38">
        <v>43234</v>
      </c>
      <c r="C23" s="35">
        <v>4.3600000000000003</v>
      </c>
      <c r="D23" s="35">
        <v>5.25</v>
      </c>
      <c r="E23" s="35">
        <v>2.91</v>
      </c>
      <c r="F23" s="35">
        <v>3.5</v>
      </c>
      <c r="G23" s="35">
        <v>1.94</v>
      </c>
      <c r="H23" s="35">
        <v>2.33</v>
      </c>
      <c r="I23" s="35">
        <v>1.29</v>
      </c>
      <c r="J23" s="35">
        <v>1.56</v>
      </c>
      <c r="K23" s="35">
        <v>0.99</v>
      </c>
      <c r="L23" s="35">
        <v>1.19</v>
      </c>
      <c r="M23" s="35">
        <v>0.78</v>
      </c>
      <c r="N23" s="35">
        <v>0.94</v>
      </c>
      <c r="O23" s="35">
        <v>0.24</v>
      </c>
      <c r="P23" s="35">
        <v>0.28000000000000003</v>
      </c>
      <c r="Q23" s="35">
        <v>0.19</v>
      </c>
      <c r="R23" s="35">
        <v>0.23</v>
      </c>
    </row>
    <row r="24" spans="1:33" ht="17.25" thickBot="1">
      <c r="A24" s="1" t="s">
        <v>435</v>
      </c>
      <c r="B24" s="38">
        <v>43336</v>
      </c>
      <c r="C24" s="34">
        <v>4.46</v>
      </c>
      <c r="D24" s="34">
        <v>5.37</v>
      </c>
      <c r="E24" s="34">
        <v>2.97</v>
      </c>
      <c r="F24" s="34">
        <v>3.58</v>
      </c>
      <c r="G24" s="34">
        <v>1.98</v>
      </c>
      <c r="H24" s="34">
        <v>2.39</v>
      </c>
      <c r="I24" s="34">
        <v>1.32</v>
      </c>
      <c r="J24" s="34">
        <v>1.59</v>
      </c>
      <c r="K24" s="34">
        <v>1.01</v>
      </c>
      <c r="L24" s="34">
        <v>1.21</v>
      </c>
      <c r="M24" s="34">
        <v>0.8</v>
      </c>
      <c r="N24" s="34">
        <v>0.96</v>
      </c>
      <c r="O24" s="34">
        <v>0.28999999999999998</v>
      </c>
      <c r="P24" s="34">
        <v>0.34</v>
      </c>
      <c r="Q24" s="34">
        <v>0.23</v>
      </c>
      <c r="R24" s="34">
        <v>0.28000000000000003</v>
      </c>
    </row>
    <row r="25" spans="1:33" ht="17.25" thickBot="1">
      <c r="A25" s="1" t="s">
        <v>436</v>
      </c>
      <c r="B25" s="38">
        <v>43349</v>
      </c>
      <c r="C25" s="35">
        <v>3.47</v>
      </c>
      <c r="D25" s="35">
        <v>4.18</v>
      </c>
      <c r="E25" s="35">
        <v>2.31</v>
      </c>
      <c r="F25" s="35">
        <v>2.79</v>
      </c>
      <c r="G25" s="35">
        <v>1.54</v>
      </c>
      <c r="H25" s="35">
        <v>1.86</v>
      </c>
      <c r="I25" s="35">
        <v>1.03</v>
      </c>
      <c r="J25" s="35">
        <v>1.24</v>
      </c>
      <c r="K25" s="35">
        <v>0.78</v>
      </c>
      <c r="L25" s="35">
        <v>0.94</v>
      </c>
      <c r="M25" s="35">
        <v>0.62</v>
      </c>
      <c r="N25" s="35">
        <v>0.75</v>
      </c>
      <c r="O25" s="35">
        <v>0.18</v>
      </c>
      <c r="P25" s="35">
        <v>0.22</v>
      </c>
      <c r="Q25" s="35">
        <v>0.15</v>
      </c>
      <c r="R25" s="35">
        <v>0.18</v>
      </c>
      <c r="Z25" s="55"/>
      <c r="AA25" s="56"/>
      <c r="AB25" s="57"/>
      <c r="AC25" s="56"/>
      <c r="AD25" s="57"/>
      <c r="AE25" s="56"/>
      <c r="AF25" s="57"/>
      <c r="AG25" s="56"/>
    </row>
    <row r="26" spans="1:33">
      <c r="A26" s="1" t="s">
        <v>437</v>
      </c>
      <c r="B26" s="38">
        <v>43336</v>
      </c>
      <c r="C26" s="34">
        <v>4.1900000000000004</v>
      </c>
      <c r="D26" s="34">
        <v>5.04</v>
      </c>
      <c r="E26" s="34">
        <v>2.79</v>
      </c>
      <c r="F26" s="34">
        <v>3.36</v>
      </c>
      <c r="G26" s="34">
        <v>1.86</v>
      </c>
      <c r="H26" s="34">
        <v>2.2400000000000002</v>
      </c>
      <c r="I26" s="34">
        <v>1.24</v>
      </c>
      <c r="J26" s="34">
        <v>1.49</v>
      </c>
      <c r="K26" s="34">
        <v>0.95</v>
      </c>
      <c r="L26" s="34">
        <v>1.1399999999999999</v>
      </c>
      <c r="M26" s="34">
        <v>0.75</v>
      </c>
      <c r="N26" s="34">
        <v>0.9</v>
      </c>
      <c r="O26" s="34">
        <v>0.25</v>
      </c>
      <c r="P26" s="34">
        <v>0.3</v>
      </c>
      <c r="Q26" s="34">
        <v>0.21</v>
      </c>
      <c r="R26" s="34">
        <v>0.25</v>
      </c>
    </row>
    <row r="27" spans="1:33">
      <c r="A27" s="1" t="s">
        <v>438</v>
      </c>
      <c r="B27" s="38">
        <v>43017</v>
      </c>
      <c r="C27" s="35">
        <v>4.09</v>
      </c>
      <c r="D27" s="35">
        <v>4.95</v>
      </c>
      <c r="E27" s="35">
        <v>2.72</v>
      </c>
      <c r="F27" s="35">
        <v>3.3</v>
      </c>
      <c r="G27" s="35">
        <v>1.82</v>
      </c>
      <c r="H27" s="35">
        <v>2.2000000000000002</v>
      </c>
      <c r="I27" s="35">
        <v>1.21</v>
      </c>
      <c r="J27" s="35">
        <v>1.47</v>
      </c>
      <c r="K27" s="35">
        <v>0.92</v>
      </c>
      <c r="L27" s="35">
        <v>1.1200000000000001</v>
      </c>
      <c r="M27" s="35">
        <v>0.73</v>
      </c>
      <c r="N27" s="35">
        <v>0.88</v>
      </c>
      <c r="O27" s="35">
        <v>0.27</v>
      </c>
      <c r="P27" s="35">
        <v>0.32</v>
      </c>
      <c r="Q27" s="35">
        <v>0.22</v>
      </c>
      <c r="R27" s="35">
        <v>0.26</v>
      </c>
    </row>
    <row r="28" spans="1:33">
      <c r="A28" s="1" t="s">
        <v>439</v>
      </c>
      <c r="B28" s="38">
        <v>43643</v>
      </c>
      <c r="C28" s="34">
        <v>4.71</v>
      </c>
      <c r="D28" s="34">
        <v>5.67</v>
      </c>
      <c r="E28" s="34">
        <v>3.14</v>
      </c>
      <c r="F28" s="34">
        <v>3.78</v>
      </c>
      <c r="G28" s="34">
        <v>2.09</v>
      </c>
      <c r="H28" s="34">
        <v>2.52</v>
      </c>
      <c r="I28" s="34">
        <v>1.39</v>
      </c>
      <c r="J28" s="34">
        <v>1.68</v>
      </c>
      <c r="K28" s="34">
        <v>1.06</v>
      </c>
      <c r="L28" s="34">
        <v>1.28</v>
      </c>
      <c r="M28" s="34">
        <v>0.84</v>
      </c>
      <c r="N28" s="34">
        <v>1.01</v>
      </c>
      <c r="O28" s="34">
        <v>0.26</v>
      </c>
      <c r="P28" s="34">
        <v>0.31</v>
      </c>
      <c r="Q28" s="34">
        <v>0.21</v>
      </c>
      <c r="R28" s="34">
        <v>0.25</v>
      </c>
      <c r="V28" s="63"/>
    </row>
    <row r="29" spans="1:33">
      <c r="A29" s="1" t="s">
        <v>440</v>
      </c>
      <c r="B29" s="38">
        <v>43690</v>
      </c>
      <c r="C29" s="35">
        <v>4.95</v>
      </c>
      <c r="D29" s="35">
        <v>5.97</v>
      </c>
      <c r="E29" s="35">
        <v>3.3</v>
      </c>
      <c r="F29" s="35">
        <v>3.98</v>
      </c>
      <c r="G29" s="35">
        <v>2.2000000000000002</v>
      </c>
      <c r="H29" s="35">
        <v>2.65</v>
      </c>
      <c r="I29" s="35">
        <v>1.47</v>
      </c>
      <c r="J29" s="35">
        <v>1.77</v>
      </c>
      <c r="K29" s="35">
        <v>1.1200000000000001</v>
      </c>
      <c r="L29" s="35">
        <v>1.35</v>
      </c>
      <c r="M29" s="35">
        <v>0.88</v>
      </c>
      <c r="N29" s="35">
        <v>1.07</v>
      </c>
      <c r="O29" s="35">
        <v>0.27</v>
      </c>
      <c r="P29" s="35">
        <v>0.33</v>
      </c>
      <c r="Q29" s="35">
        <v>0.22</v>
      </c>
      <c r="R29" s="35">
        <v>0.27</v>
      </c>
      <c r="V29" s="62"/>
    </row>
    <row r="30" spans="1:33">
      <c r="A30" s="1" t="s">
        <v>441</v>
      </c>
      <c r="B30" s="38">
        <v>43761</v>
      </c>
      <c r="C30" s="34">
        <v>3.69</v>
      </c>
      <c r="D30" s="34">
        <v>4.45</v>
      </c>
      <c r="E30" s="34">
        <v>2.46</v>
      </c>
      <c r="F30" s="34">
        <v>2.96</v>
      </c>
      <c r="G30" s="34">
        <v>1.64</v>
      </c>
      <c r="H30" s="34">
        <v>1.98</v>
      </c>
      <c r="I30" s="34">
        <v>1.0900000000000001</v>
      </c>
      <c r="J30" s="34">
        <v>1.32</v>
      </c>
      <c r="K30" s="34">
        <v>0.83</v>
      </c>
      <c r="L30" s="34">
        <v>1.01</v>
      </c>
      <c r="M30" s="34">
        <v>0.66</v>
      </c>
      <c r="N30" s="34">
        <v>0.79</v>
      </c>
      <c r="O30" s="34">
        <v>0.2</v>
      </c>
      <c r="P30" s="34">
        <v>0.23</v>
      </c>
      <c r="Q30" s="34">
        <v>0.16</v>
      </c>
      <c r="R30" s="34">
        <v>0.19</v>
      </c>
      <c r="V30" s="63"/>
    </row>
    <row r="31" spans="1:33">
      <c r="A31" s="1" t="s">
        <v>442</v>
      </c>
      <c r="B31" s="38">
        <v>43761</v>
      </c>
      <c r="C31" s="35">
        <v>4.49</v>
      </c>
      <c r="D31" s="35">
        <v>5.4</v>
      </c>
      <c r="E31" s="35">
        <v>2.99</v>
      </c>
      <c r="F31" s="35">
        <v>3.6</v>
      </c>
      <c r="G31" s="35">
        <v>1.99</v>
      </c>
      <c r="H31" s="35">
        <v>2.4</v>
      </c>
      <c r="I31" s="35">
        <v>1.33</v>
      </c>
      <c r="J31" s="35">
        <v>1.6</v>
      </c>
      <c r="K31" s="35">
        <v>1.01</v>
      </c>
      <c r="L31" s="35">
        <v>1.22</v>
      </c>
      <c r="M31" s="35">
        <v>0.8</v>
      </c>
      <c r="N31" s="35">
        <v>0.96</v>
      </c>
      <c r="O31" s="35">
        <v>0.3</v>
      </c>
      <c r="P31" s="35">
        <v>0.36</v>
      </c>
      <c r="Q31" s="35">
        <v>0.25</v>
      </c>
      <c r="R31" s="35">
        <v>0.28999999999999998</v>
      </c>
      <c r="V31" s="62"/>
    </row>
    <row r="32" spans="1:33">
      <c r="A32" s="1" t="s">
        <v>443</v>
      </c>
      <c r="B32" s="38">
        <v>43761</v>
      </c>
      <c r="C32" s="34">
        <v>4.3099999999999996</v>
      </c>
      <c r="D32" s="34">
        <v>5.19</v>
      </c>
      <c r="E32" s="34">
        <v>2.88</v>
      </c>
      <c r="F32" s="34">
        <v>3.46</v>
      </c>
      <c r="G32" s="34">
        <v>1.92</v>
      </c>
      <c r="H32" s="34">
        <v>2.31</v>
      </c>
      <c r="I32" s="34">
        <v>1.28</v>
      </c>
      <c r="J32" s="34">
        <v>1.54</v>
      </c>
      <c r="K32" s="34">
        <v>0.97</v>
      </c>
      <c r="L32" s="34">
        <v>1.17</v>
      </c>
      <c r="M32" s="34">
        <v>0.77</v>
      </c>
      <c r="N32" s="34">
        <v>0.93</v>
      </c>
      <c r="O32" s="34">
        <v>0.37</v>
      </c>
      <c r="P32" s="34">
        <v>0.44</v>
      </c>
      <c r="Q32" s="34">
        <v>0.3</v>
      </c>
      <c r="R32" s="34">
        <v>0.36</v>
      </c>
      <c r="V32" s="63"/>
    </row>
    <row r="33" spans="1:24">
      <c r="A33" s="194" t="s">
        <v>444</v>
      </c>
      <c r="B33" s="195"/>
      <c r="C33" s="37">
        <f>AVERAGE(C6:C32)</f>
        <v>4.13</v>
      </c>
      <c r="D33" s="37">
        <f t="shared" ref="D33:R33" si="0">AVERAGE(D6:D32)</f>
        <v>4.9800000000000004</v>
      </c>
      <c r="E33" s="37">
        <f t="shared" si="0"/>
        <v>2.75</v>
      </c>
      <c r="F33" s="37">
        <f t="shared" si="0"/>
        <v>3.32</v>
      </c>
      <c r="G33" s="37">
        <f t="shared" si="0"/>
        <v>1.84</v>
      </c>
      <c r="H33" s="37">
        <f t="shared" si="0"/>
        <v>2.21</v>
      </c>
      <c r="I33" s="37">
        <f t="shared" si="0"/>
        <v>1.22</v>
      </c>
      <c r="J33" s="37">
        <f t="shared" si="0"/>
        <v>1.47</v>
      </c>
      <c r="K33" s="37">
        <f t="shared" si="0"/>
        <v>0.93</v>
      </c>
      <c r="L33" s="37">
        <f t="shared" si="0"/>
        <v>1.1200000000000001</v>
      </c>
      <c r="M33" s="37">
        <f t="shared" si="0"/>
        <v>0.74</v>
      </c>
      <c r="N33" s="37">
        <f t="shared" si="0"/>
        <v>0.89</v>
      </c>
      <c r="O33" s="37">
        <f t="shared" si="0"/>
        <v>0.25</v>
      </c>
      <c r="P33" s="37">
        <f t="shared" si="0"/>
        <v>0.3</v>
      </c>
      <c r="Q33" s="37">
        <f t="shared" si="0"/>
        <v>0.2</v>
      </c>
      <c r="R33" s="37">
        <f t="shared" si="0"/>
        <v>0.24</v>
      </c>
      <c r="V33" s="62"/>
    </row>
    <row r="34" spans="1:24">
      <c r="A34" s="186" t="s">
        <v>445</v>
      </c>
      <c r="B34" s="187"/>
      <c r="C34" s="37">
        <f>SMALL(C6:C32,27)</f>
        <v>5.6</v>
      </c>
      <c r="D34" s="37">
        <f t="shared" ref="D34:R34" si="1">SMALL(D6:D32,27)</f>
        <v>6.73</v>
      </c>
      <c r="E34" s="37">
        <f t="shared" si="1"/>
        <v>3.73</v>
      </c>
      <c r="F34" s="37">
        <f t="shared" si="1"/>
        <v>4.4800000000000004</v>
      </c>
      <c r="G34" s="37">
        <f t="shared" si="1"/>
        <v>2.4900000000000002</v>
      </c>
      <c r="H34" s="37">
        <f t="shared" si="1"/>
        <v>2.99</v>
      </c>
      <c r="I34" s="37">
        <f t="shared" si="1"/>
        <v>1.66</v>
      </c>
      <c r="J34" s="37">
        <f t="shared" si="1"/>
        <v>1.99</v>
      </c>
      <c r="K34" s="37">
        <f t="shared" si="1"/>
        <v>1.26</v>
      </c>
      <c r="L34" s="37">
        <f t="shared" si="1"/>
        <v>1.52</v>
      </c>
      <c r="M34" s="37">
        <f t="shared" si="1"/>
        <v>1</v>
      </c>
      <c r="N34" s="37">
        <f t="shared" si="1"/>
        <v>1.2</v>
      </c>
      <c r="O34" s="37">
        <f t="shared" si="1"/>
        <v>0.4</v>
      </c>
      <c r="P34" s="37">
        <f t="shared" si="1"/>
        <v>0.48</v>
      </c>
      <c r="Q34" s="37">
        <f t="shared" si="1"/>
        <v>0.33</v>
      </c>
      <c r="R34" s="37">
        <f t="shared" si="1"/>
        <v>0.39</v>
      </c>
      <c r="V34" s="63"/>
      <c r="X34" s="60"/>
    </row>
    <row r="35" spans="1:24">
      <c r="A35" s="186" t="s">
        <v>446</v>
      </c>
      <c r="B35" s="187"/>
      <c r="C35" s="37">
        <f>LARGE(C7:C33,27)</f>
        <v>3.47</v>
      </c>
      <c r="D35" s="37">
        <f t="shared" ref="D35:R35" si="2">LARGE(D7:D33,27)</f>
        <v>4.18</v>
      </c>
      <c r="E35" s="37">
        <f t="shared" si="2"/>
        <v>2.31</v>
      </c>
      <c r="F35" s="37">
        <f t="shared" si="2"/>
        <v>2.79</v>
      </c>
      <c r="G35" s="37">
        <f t="shared" si="2"/>
        <v>1.54</v>
      </c>
      <c r="H35" s="37">
        <f t="shared" si="2"/>
        <v>1.86</v>
      </c>
      <c r="I35" s="37">
        <f t="shared" si="2"/>
        <v>1.03</v>
      </c>
      <c r="J35" s="37">
        <f t="shared" si="2"/>
        <v>1.24</v>
      </c>
      <c r="K35" s="37">
        <f t="shared" si="2"/>
        <v>0.78</v>
      </c>
      <c r="L35" s="37">
        <f t="shared" si="2"/>
        <v>0.94</v>
      </c>
      <c r="M35" s="37">
        <f t="shared" si="2"/>
        <v>0.62</v>
      </c>
      <c r="N35" s="37">
        <f t="shared" si="2"/>
        <v>0.75</v>
      </c>
      <c r="O35" s="37">
        <f t="shared" si="2"/>
        <v>0.18</v>
      </c>
      <c r="P35" s="37">
        <f t="shared" si="2"/>
        <v>0.22</v>
      </c>
      <c r="Q35" s="37">
        <f t="shared" si="2"/>
        <v>0.15</v>
      </c>
      <c r="R35" s="37">
        <f t="shared" si="2"/>
        <v>0.18</v>
      </c>
      <c r="V35" s="62"/>
      <c r="X35" s="61"/>
    </row>
    <row r="36" spans="1:24">
      <c r="L36" s="31"/>
      <c r="M36" s="31"/>
      <c r="N36" s="31"/>
      <c r="Q36" s="31"/>
      <c r="X36" s="60"/>
    </row>
    <row r="37" spans="1:24">
      <c r="X37" s="61"/>
    </row>
    <row r="38" spans="1:24">
      <c r="X38" s="60"/>
    </row>
    <row r="39" spans="1:24">
      <c r="X39" s="61"/>
    </row>
    <row r="40" spans="1:24">
      <c r="X40" s="60"/>
    </row>
    <row r="41" spans="1:24">
      <c r="X41" s="61"/>
    </row>
  </sheetData>
  <sheetProtection sheet="1" objects="1" scenarios="1"/>
  <mergeCells count="9">
    <mergeCell ref="K2:N3"/>
    <mergeCell ref="O2:R3"/>
    <mergeCell ref="A33:B33"/>
    <mergeCell ref="A34:B34"/>
    <mergeCell ref="A35:B35"/>
    <mergeCell ref="A2:A5"/>
    <mergeCell ref="B2:B5"/>
    <mergeCell ref="C2:F3"/>
    <mergeCell ref="G2:J3"/>
  </mergeCells>
  <printOptions horizontalCentered="1" verticalCentered="1"/>
  <pageMargins left="0.15748031496062992" right="0.19685039370078741" top="0.17" bottom="0.15748031496062992" header="0.17" footer="0.17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0"/>
  <sheetViews>
    <sheetView workbookViewId="0">
      <selection sqref="A1:D1"/>
    </sheetView>
  </sheetViews>
  <sheetFormatPr defaultRowHeight="12.75"/>
  <cols>
    <col min="1" max="1" width="21.5703125" bestFit="1" customWidth="1"/>
    <col min="2" max="2" width="21" customWidth="1"/>
    <col min="3" max="3" width="18.42578125" customWidth="1"/>
    <col min="4" max="4" width="14.7109375" customWidth="1"/>
  </cols>
  <sheetData>
    <row r="1" spans="1:4" ht="20.25" customHeight="1">
      <c r="A1" s="205" t="s">
        <v>455</v>
      </c>
      <c r="B1" s="205"/>
      <c r="C1" s="205"/>
      <c r="D1" s="205"/>
    </row>
    <row r="2" spans="1:4">
      <c r="A2" s="206" t="s">
        <v>456</v>
      </c>
      <c r="B2" s="206" t="s">
        <v>457</v>
      </c>
      <c r="C2" s="210" t="s">
        <v>458</v>
      </c>
      <c r="D2" s="206" t="s">
        <v>459</v>
      </c>
    </row>
    <row r="3" spans="1:4" ht="36" customHeight="1">
      <c r="A3" s="206"/>
      <c r="B3" s="206"/>
      <c r="C3" s="211"/>
      <c r="D3" s="206"/>
    </row>
    <row r="4" spans="1:4" ht="16.5">
      <c r="A4" s="206"/>
      <c r="B4" s="39" t="s">
        <v>460</v>
      </c>
      <c r="C4" s="39" t="s">
        <v>461</v>
      </c>
      <c r="D4" s="39" t="s">
        <v>462</v>
      </c>
    </row>
    <row r="5" spans="1:4" ht="16.5">
      <c r="A5" s="26" t="s">
        <v>463</v>
      </c>
      <c r="B5" s="27" t="e">
        <f>AREA_INTERNA_TOTAL</f>
        <v>#REF!</v>
      </c>
      <c r="C5" s="28" t="e">
        <f>PRODUT_AREA_INTERNA</f>
        <v>#REF!</v>
      </c>
      <c r="D5" s="52">
        <f>IFERROR(AREA_INTERNA_TOTAL/PRODUT_AREA_INTERNA,0)</f>
        <v>0</v>
      </c>
    </row>
    <row r="6" spans="1:4" ht="16.5">
      <c r="A6" s="26" t="s">
        <v>464</v>
      </c>
      <c r="B6" s="29" t="e">
        <f>AREA_EXTERNA_TOTAL</f>
        <v>#REF!</v>
      </c>
      <c r="C6" s="14" t="e">
        <f>PRODUT_AREA_EXTERNA</f>
        <v>#REF!</v>
      </c>
      <c r="D6" s="53">
        <f>IFERROR(AREA_EXTERNA_TOTAL/PRODUT_AREA_EXTERNA,0)</f>
        <v>0</v>
      </c>
    </row>
    <row r="7" spans="1:4" ht="16.5">
      <c r="A7" s="26" t="s">
        <v>465</v>
      </c>
      <c r="B7" s="27" t="e">
        <f>AREA_ESQ_EXTERNA_TOTAL</f>
        <v>#REF!</v>
      </c>
      <c r="C7" s="28" t="e">
        <f>PRODUT_AREA_ESQ_EXTERNA</f>
        <v>#REF!</v>
      </c>
      <c r="D7" s="52">
        <f>IFERROR((AREA_ESQ_EXTERNA_TOTAL*(COEF_KI_ESQ_EXTERNA_ENC+COEF_KI_ESQ_EXTERNA_SERV)),0)</f>
        <v>0</v>
      </c>
    </row>
    <row r="8" spans="1:4" ht="16.5">
      <c r="A8" s="26" t="s">
        <v>466</v>
      </c>
      <c r="B8" s="29" t="e">
        <f>AREA_FACHADA_ENVID_TOTAL</f>
        <v>#REF!</v>
      </c>
      <c r="C8" s="14" t="e">
        <f>PRODUT_AREA_FACHADA_ENVID</f>
        <v>#REF!</v>
      </c>
      <c r="D8" s="53">
        <f>IFERROR(AREA_FACHADA_ENVID_TOTAL*(COEF_KI_FACHADA_ENVID_ENC+COEF_KI_ESQ_EXTERNA_SERV),0)</f>
        <v>0</v>
      </c>
    </row>
    <row r="9" spans="1:4" ht="16.5">
      <c r="A9" s="26" t="s">
        <v>467</v>
      </c>
      <c r="B9" s="27" t="e">
        <f>AREA_MED_HOSP_TOTAL</f>
        <v>#REF!</v>
      </c>
      <c r="C9" s="28" t="e">
        <f>PRODUT_AREA_HOSPITALAR</f>
        <v>#REF!</v>
      </c>
      <c r="D9" s="52">
        <f>IFERROR(AREA_MED_HOSP_TOTAL/PRODUT_AREA_HOSPITALAR,0)</f>
        <v>0</v>
      </c>
    </row>
    <row r="10" spans="1:4" ht="16.5">
      <c r="A10" s="207" t="s">
        <v>455</v>
      </c>
      <c r="B10" s="208"/>
      <c r="C10" s="209"/>
      <c r="D10" s="45">
        <f>TRUNC(SUM(D5:D9),0)</f>
        <v>0</v>
      </c>
    </row>
  </sheetData>
  <sheetProtection sheet="1" objects="1" scenarios="1"/>
  <mergeCells count="6">
    <mergeCell ref="A1:D1"/>
    <mergeCell ref="D2:D3"/>
    <mergeCell ref="A10:C10"/>
    <mergeCell ref="A2:A4"/>
    <mergeCell ref="B2:B3"/>
    <mergeCell ref="C2:C3"/>
  </mergeCells>
  <printOptions horizontalCentered="1"/>
  <pageMargins left="0.51181102362204722" right="0.51181102362204722" top="0.35433070866141736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"/>
  <sheetViews>
    <sheetView showGridLines="0" tabSelected="1" workbookViewId="0">
      <selection sqref="A1:E1"/>
    </sheetView>
  </sheetViews>
  <sheetFormatPr defaultRowHeight="15"/>
  <cols>
    <col min="1" max="1" width="16.140625" style="79" bestFit="1" customWidth="1"/>
    <col min="2" max="2" width="11.42578125" style="79" bestFit="1" customWidth="1"/>
    <col min="3" max="4" width="33.5703125" style="79" customWidth="1"/>
    <col min="5" max="5" width="11.5703125" style="79" bestFit="1" customWidth="1"/>
    <col min="6" max="16384" width="9.140625" style="79"/>
  </cols>
  <sheetData>
    <row r="1" spans="1:5" s="75" customFormat="1" ht="21" customHeight="1">
      <c r="A1" s="128" t="s">
        <v>30</v>
      </c>
      <c r="B1" s="128"/>
      <c r="C1" s="128"/>
      <c r="D1" s="128"/>
      <c r="E1" s="128"/>
    </row>
    <row r="2" spans="1:5" s="75" customFormat="1">
      <c r="A2" s="76" t="s">
        <v>31</v>
      </c>
      <c r="B2" s="76" t="s">
        <v>152</v>
      </c>
      <c r="C2" s="129" t="s">
        <v>153</v>
      </c>
      <c r="D2" s="129"/>
      <c r="E2" s="129"/>
    </row>
    <row r="3" spans="1:5" s="75" customFormat="1">
      <c r="A3" s="77" t="s">
        <v>154</v>
      </c>
      <c r="B3" s="77">
        <v>26</v>
      </c>
      <c r="C3" s="130">
        <v>110</v>
      </c>
      <c r="D3" s="130"/>
      <c r="E3" s="130"/>
    </row>
    <row r="4" spans="1:5" s="75" customFormat="1">
      <c r="A4" s="77" t="s">
        <v>36</v>
      </c>
      <c r="B4" s="77">
        <f>COUNTIF('Áreas CNMP'!F29:F71,A4)</f>
        <v>35</v>
      </c>
      <c r="C4" s="130">
        <v>15</v>
      </c>
      <c r="D4" s="130"/>
      <c r="E4" s="130"/>
    </row>
    <row r="5" spans="1:5" s="75" customFormat="1">
      <c r="A5" s="125" t="s">
        <v>155</v>
      </c>
      <c r="B5" s="126"/>
      <c r="C5" s="126"/>
      <c r="D5" s="127"/>
      <c r="E5" s="78">
        <f>(C3*B3+C4*B4)/SUM(B3:B4)</f>
        <v>55.491803278688501</v>
      </c>
    </row>
    <row r="6" spans="1:5" s="75" customFormat="1">
      <c r="A6" s="125" t="s">
        <v>156</v>
      </c>
      <c r="B6" s="126"/>
      <c r="C6" s="126"/>
      <c r="D6" s="127"/>
      <c r="E6" s="78">
        <f>AVERAGE('Áreas CNMP'!C29:C71)</f>
        <v>10.3683720930233</v>
      </c>
    </row>
  </sheetData>
  <mergeCells count="6">
    <mergeCell ref="A6:D6"/>
    <mergeCell ref="A1:E1"/>
    <mergeCell ref="C2:E2"/>
    <mergeCell ref="C3:E3"/>
    <mergeCell ref="C4:E4"/>
    <mergeCell ref="A5:D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8"/>
  <sheetViews>
    <sheetView showGridLines="0" zoomScale="80" zoomScaleNormal="80" workbookViewId="0">
      <selection sqref="A1:B1"/>
    </sheetView>
  </sheetViews>
  <sheetFormatPr defaultRowHeight="15"/>
  <cols>
    <col min="1" max="1" width="16.140625" style="75" bestFit="1" customWidth="1"/>
    <col min="2" max="2" width="62.85546875" style="75" customWidth="1"/>
    <col min="3" max="3" width="12.140625" style="75" bestFit="1" customWidth="1"/>
    <col min="4" max="4" width="55.5703125" style="75" customWidth="1"/>
    <col min="5" max="5" width="62.140625" style="75" bestFit="1" customWidth="1"/>
    <col min="6" max="16384" width="9.140625" style="75"/>
  </cols>
  <sheetData>
    <row r="1" spans="1:4" ht="56.25">
      <c r="A1" s="131" t="s">
        <v>157</v>
      </c>
      <c r="B1" s="131"/>
      <c r="C1" s="80" t="s">
        <v>158</v>
      </c>
      <c r="D1" s="81" t="s">
        <v>471</v>
      </c>
    </row>
    <row r="2" spans="1:4">
      <c r="A2" s="132" t="s">
        <v>159</v>
      </c>
      <c r="B2" s="82" t="s">
        <v>7</v>
      </c>
      <c r="C2" s="83">
        <f>SUMIF('Áreas CNMP'!E3:E153,B2,'Áreas CNMP'!C3:C153)</f>
        <v>576.76</v>
      </c>
      <c r="D2" s="77">
        <f>(1500+2500)/2*1.1</f>
        <v>2200</v>
      </c>
    </row>
    <row r="3" spans="1:4">
      <c r="A3" s="132"/>
      <c r="B3" s="82" t="s">
        <v>33</v>
      </c>
      <c r="C3" s="83">
        <f>SUMIF('Áreas CNMP'!E4:E154,B3,'Áreas CNMP'!C4:C154)</f>
        <v>445.84</v>
      </c>
      <c r="D3" s="77">
        <f>(480/'Área "Banheiros"'!E5*'Área "Banheiros"'!E6)*1.1</f>
        <v>98.654218130603994</v>
      </c>
    </row>
    <row r="4" spans="1:4">
      <c r="A4" s="132"/>
      <c r="B4" s="82" t="s">
        <v>19</v>
      </c>
      <c r="C4" s="83">
        <f>SUMIF('Áreas CNMP'!E5:E155,B4,'Áreas CNMP'!C5:C155)</f>
        <v>6526.25</v>
      </c>
      <c r="D4" s="77">
        <f>(800+1200)/2*1.1</f>
        <v>1100</v>
      </c>
    </row>
    <row r="5" spans="1:4">
      <c r="A5" s="133" t="s">
        <v>160</v>
      </c>
      <c r="B5" s="82" t="s">
        <v>130</v>
      </c>
      <c r="C5" s="83">
        <f>SUMIF('Áreas CNMP'!E6:E156,B5,'Áreas CNMP'!C6:C156)</f>
        <v>958.75</v>
      </c>
      <c r="D5" s="77">
        <f>(1800+2700)/2*1.1</f>
        <v>2475</v>
      </c>
    </row>
    <row r="6" spans="1:4">
      <c r="A6" s="133"/>
      <c r="B6" s="82" t="s">
        <v>108</v>
      </c>
      <c r="C6" s="83">
        <f>SUMIF('Áreas CNMP'!E7:E157,B6,'Áreas CNMP'!C7:C157)</f>
        <v>5476.9</v>
      </c>
      <c r="D6" s="77">
        <f>(6000+9000)/2*1.1</f>
        <v>8250</v>
      </c>
    </row>
    <row r="7" spans="1:4">
      <c r="A7" s="134" t="s">
        <v>161</v>
      </c>
      <c r="B7" s="82" t="s">
        <v>117</v>
      </c>
      <c r="C7" s="83">
        <f>SUMIF('Áreas CNMP'!E9:E159,B7,'Áreas CNMP'!C9:C159)</f>
        <v>235.35</v>
      </c>
      <c r="D7" s="77">
        <f>(300+380)/2*1.1</f>
        <v>374</v>
      </c>
    </row>
    <row r="8" spans="1:4">
      <c r="A8" s="134"/>
      <c r="B8" s="82" t="s">
        <v>135</v>
      </c>
      <c r="C8" s="83">
        <f>SUMIF('Áreas CNMP'!E10:E160,B8,'Áreas CNMP'!C10:C160)</f>
        <v>1575.75</v>
      </c>
      <c r="D8" s="77">
        <f>(300+380)/2*1.1</f>
        <v>374</v>
      </c>
    </row>
  </sheetData>
  <mergeCells count="4">
    <mergeCell ref="A1:B1"/>
    <mergeCell ref="A2:A4"/>
    <mergeCell ref="A5:A6"/>
    <mergeCell ref="A7:A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9"/>
  <sheetViews>
    <sheetView showGridLines="0" zoomScale="90" zoomScaleNormal="90" workbookViewId="0">
      <selection sqref="A1:B1"/>
    </sheetView>
  </sheetViews>
  <sheetFormatPr defaultRowHeight="15"/>
  <cols>
    <col min="1" max="1" width="15.7109375" style="75" customWidth="1"/>
    <col min="2" max="2" width="58" style="75" customWidth="1"/>
    <col min="3" max="4" width="27.42578125" style="75" customWidth="1"/>
    <col min="5" max="16384" width="9.140625" style="75"/>
  </cols>
  <sheetData>
    <row r="1" spans="1:4" ht="63">
      <c r="A1" s="131" t="s">
        <v>157</v>
      </c>
      <c r="B1" s="131"/>
      <c r="C1" s="84" t="s">
        <v>162</v>
      </c>
      <c r="D1" s="84" t="s">
        <v>163</v>
      </c>
    </row>
    <row r="2" spans="1:4">
      <c r="A2" s="132" t="s">
        <v>159</v>
      </c>
      <c r="B2" s="82" t="s">
        <v>7</v>
      </c>
      <c r="C2" s="77">
        <f>'Área e produtividade'!$C2/'Área e produtividade'!D2</f>
        <v>0.26216363636363599</v>
      </c>
      <c r="D2" s="77">
        <f t="shared" ref="D2:D8" si="0">C2/$C$9</f>
        <v>2.15310961959632E-2</v>
      </c>
    </row>
    <row r="3" spans="1:4">
      <c r="A3" s="132"/>
      <c r="B3" s="82" t="s">
        <v>33</v>
      </c>
      <c r="C3" s="77">
        <f>'Área e produtividade'!$C3/'Área e produtividade'!D3</f>
        <v>4.5192188276204499</v>
      </c>
      <c r="D3" s="77">
        <f t="shared" si="0"/>
        <v>0.37115649087632402</v>
      </c>
    </row>
    <row r="4" spans="1:4">
      <c r="A4" s="132"/>
      <c r="B4" s="82" t="s">
        <v>19</v>
      </c>
      <c r="C4" s="77">
        <f>'Área e produtividade'!$C4/'Área e produtividade'!D4</f>
        <v>5.9329545454545496</v>
      </c>
      <c r="D4" s="77">
        <f t="shared" si="0"/>
        <v>0.48726443078197101</v>
      </c>
    </row>
    <row r="5" spans="1:4">
      <c r="A5" s="133" t="s">
        <v>160</v>
      </c>
      <c r="B5" s="82" t="s">
        <v>130</v>
      </c>
      <c r="C5" s="77">
        <f>'Área e produtividade'!$C5/'Área e produtividade'!D5</f>
        <v>0.38737373737373698</v>
      </c>
      <c r="D5" s="77">
        <f t="shared" si="0"/>
        <v>3.1814409194472898E-2</v>
      </c>
    </row>
    <row r="6" spans="1:4">
      <c r="A6" s="133"/>
      <c r="B6" s="82" t="s">
        <v>108</v>
      </c>
      <c r="C6" s="77">
        <f>'Área e produtividade'!$C6/'Área e produtividade'!D6</f>
        <v>0.66386666666666705</v>
      </c>
      <c r="D6" s="77">
        <f t="shared" si="0"/>
        <v>5.4522348177483797E-2</v>
      </c>
    </row>
    <row r="7" spans="1:4">
      <c r="A7" s="134" t="s">
        <v>161</v>
      </c>
      <c r="B7" s="82" t="s">
        <v>117</v>
      </c>
      <c r="C7" s="77">
        <f>(('Área e produtividade'!$C7/'Área e produtividade'!D7)/188.76)*16</f>
        <v>5.3339951249528297E-2</v>
      </c>
      <c r="D7" s="77">
        <f t="shared" si="0"/>
        <v>4.3807281489206601E-3</v>
      </c>
    </row>
    <row r="8" spans="1:4">
      <c r="A8" s="134"/>
      <c r="B8" s="82" t="s">
        <v>135</v>
      </c>
      <c r="C8" s="77">
        <f>(('Área e produtividade'!$C8/'Área e produtividade'!D8)/188.76)*16</f>
        <v>0.35712950151452799</v>
      </c>
      <c r="D8" s="77">
        <f t="shared" si="0"/>
        <v>2.9330496624863901E-2</v>
      </c>
    </row>
    <row r="9" spans="1:4" ht="18.75">
      <c r="A9" s="135" t="s">
        <v>16</v>
      </c>
      <c r="B9" s="136"/>
      <c r="C9" s="85">
        <f>SUM(C2:C8)</f>
        <v>12.1760468662431</v>
      </c>
      <c r="D9" s="85">
        <f>SUM(D2:D8)</f>
        <v>0.999999999999999</v>
      </c>
    </row>
  </sheetData>
  <mergeCells count="5">
    <mergeCell ref="A1:B1"/>
    <mergeCell ref="A2:A4"/>
    <mergeCell ref="A5:A6"/>
    <mergeCell ref="A7:A8"/>
    <mergeCell ref="A9:B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6"/>
  <sheetViews>
    <sheetView showGridLines="0" zoomScale="90" zoomScaleNormal="90" workbookViewId="0"/>
  </sheetViews>
  <sheetFormatPr defaultColWidth="9.140625" defaultRowHeight="15"/>
  <cols>
    <col min="1" max="1" width="18.85546875" style="87" bestFit="1" customWidth="1"/>
    <col min="2" max="2" width="55.7109375" style="87" bestFit="1" customWidth="1"/>
    <col min="3" max="3" width="19.42578125" style="87" bestFit="1" customWidth="1"/>
    <col min="4" max="4" width="14.28515625" style="87" bestFit="1" customWidth="1"/>
    <col min="5" max="5" width="18.85546875" style="87" bestFit="1" customWidth="1"/>
    <col min="6" max="6" width="19.42578125" style="87" bestFit="1" customWidth="1"/>
    <col min="7" max="7" width="14.42578125" style="87" bestFit="1" customWidth="1"/>
    <col min="8" max="8" width="18" style="87" bestFit="1" customWidth="1"/>
    <col min="9" max="9" width="16.85546875" style="87" bestFit="1" customWidth="1"/>
    <col min="10" max="10" width="39.5703125" style="87" customWidth="1"/>
    <col min="11" max="16384" width="9.140625" style="87"/>
  </cols>
  <sheetData>
    <row r="1" spans="1:9" ht="18.75">
      <c r="A1" s="86"/>
      <c r="B1" s="86"/>
      <c r="D1" s="138" t="s">
        <v>164</v>
      </c>
      <c r="E1" s="138"/>
      <c r="F1" s="138"/>
      <c r="G1" s="138"/>
      <c r="H1" s="138"/>
      <c r="I1" s="138"/>
    </row>
    <row r="2" spans="1:9" ht="30">
      <c r="A2" s="131" t="s">
        <v>157</v>
      </c>
      <c r="B2" s="131"/>
      <c r="C2" s="88" t="s">
        <v>165</v>
      </c>
      <c r="D2" s="89" t="s">
        <v>166</v>
      </c>
      <c r="E2" s="88" t="s">
        <v>167</v>
      </c>
      <c r="F2" s="88" t="s">
        <v>168</v>
      </c>
      <c r="G2" s="88" t="s">
        <v>169</v>
      </c>
      <c r="H2" s="90" t="s">
        <v>170</v>
      </c>
      <c r="I2" s="90" t="s">
        <v>171</v>
      </c>
    </row>
    <row r="3" spans="1:9">
      <c r="A3" s="132" t="s">
        <v>159</v>
      </c>
      <c r="B3" s="82" t="s">
        <v>7</v>
      </c>
      <c r="C3" s="137" t="s">
        <v>0</v>
      </c>
      <c r="D3" s="91">
        <f>1/'Área e produtividade'!D2</f>
        <v>4.5454545454545498E-4</v>
      </c>
      <c r="E3" s="91" t="s">
        <v>172</v>
      </c>
      <c r="F3" s="91" t="s">
        <v>172</v>
      </c>
      <c r="G3" s="91" t="s">
        <v>172</v>
      </c>
      <c r="H3" s="92" t="e">
        <f t="shared" ref="H3:H9" si="0">VALOR_TOTAL_SERV</f>
        <v>#REF!</v>
      </c>
      <c r="I3" s="91" t="e">
        <f>D3*H3</f>
        <v>#REF!</v>
      </c>
    </row>
    <row r="4" spans="1:9">
      <c r="A4" s="132"/>
      <c r="B4" s="82" t="s">
        <v>33</v>
      </c>
      <c r="C4" s="137"/>
      <c r="D4" s="91">
        <f>1/'Área e produtividade'!D3</f>
        <v>1.01364140221166E-2</v>
      </c>
      <c r="E4" s="91" t="s">
        <v>172</v>
      </c>
      <c r="F4" s="91" t="s">
        <v>172</v>
      </c>
      <c r="G4" s="91" t="s">
        <v>172</v>
      </c>
      <c r="H4" s="92" t="e">
        <f t="shared" si="0"/>
        <v>#REF!</v>
      </c>
      <c r="I4" s="91" t="e">
        <f>D4*H4</f>
        <v>#REF!</v>
      </c>
    </row>
    <row r="5" spans="1:9">
      <c r="A5" s="132"/>
      <c r="B5" s="82" t="s">
        <v>19</v>
      </c>
      <c r="C5" s="137"/>
      <c r="D5" s="91">
        <f>1/'Área e produtividade'!D4</f>
        <v>9.0909090909090898E-4</v>
      </c>
      <c r="E5" s="91" t="s">
        <v>172</v>
      </c>
      <c r="F5" s="91" t="s">
        <v>172</v>
      </c>
      <c r="G5" s="91" t="s">
        <v>172</v>
      </c>
      <c r="H5" s="92" t="e">
        <f t="shared" si="0"/>
        <v>#REF!</v>
      </c>
      <c r="I5" s="91" t="e">
        <f>D5*H5</f>
        <v>#REF!</v>
      </c>
    </row>
    <row r="6" spans="1:9">
      <c r="A6" s="133" t="s">
        <v>160</v>
      </c>
      <c r="B6" s="82" t="s">
        <v>130</v>
      </c>
      <c r="C6" s="137"/>
      <c r="D6" s="91">
        <f>1/'Área e produtividade'!D5</f>
        <v>4.0404040404040399E-4</v>
      </c>
      <c r="E6" s="91" t="s">
        <v>172</v>
      </c>
      <c r="F6" s="91" t="s">
        <v>172</v>
      </c>
      <c r="G6" s="91" t="s">
        <v>172</v>
      </c>
      <c r="H6" s="92" t="e">
        <f t="shared" si="0"/>
        <v>#REF!</v>
      </c>
      <c r="I6" s="91" t="e">
        <f>D6*H6</f>
        <v>#REF!</v>
      </c>
    </row>
    <row r="7" spans="1:9">
      <c r="A7" s="133"/>
      <c r="B7" s="82" t="s">
        <v>108</v>
      </c>
      <c r="C7" s="137"/>
      <c r="D7" s="91">
        <f>1/'Área e produtividade'!D6</f>
        <v>1.2121212121212101E-4</v>
      </c>
      <c r="E7" s="91" t="s">
        <v>172</v>
      </c>
      <c r="F7" s="91" t="s">
        <v>172</v>
      </c>
      <c r="G7" s="91" t="s">
        <v>172</v>
      </c>
      <c r="H7" s="92" t="e">
        <f t="shared" si="0"/>
        <v>#REF!</v>
      </c>
      <c r="I7" s="91" t="e">
        <f>D7*H7</f>
        <v>#REF!</v>
      </c>
    </row>
    <row r="8" spans="1:9">
      <c r="A8" s="134" t="s">
        <v>161</v>
      </c>
      <c r="B8" s="82" t="s">
        <v>117</v>
      </c>
      <c r="C8" s="137"/>
      <c r="D8" s="91">
        <f>1/'Área e produtividade'!D7</f>
        <v>2.6737967914438501E-3</v>
      </c>
      <c r="E8" s="91">
        <v>16</v>
      </c>
      <c r="F8" s="91">
        <f>1/188.76</f>
        <v>5.2977325704598403E-3</v>
      </c>
      <c r="G8" s="91">
        <f>D8*E8*F8</f>
        <v>2.2664096558116999E-4</v>
      </c>
      <c r="H8" s="92" t="e">
        <f t="shared" si="0"/>
        <v>#REF!</v>
      </c>
      <c r="I8" s="91" t="e">
        <f>G8*H8</f>
        <v>#REF!</v>
      </c>
    </row>
    <row r="9" spans="1:9">
      <c r="A9" s="134"/>
      <c r="B9" s="82" t="s">
        <v>135</v>
      </c>
      <c r="C9" s="137"/>
      <c r="D9" s="91">
        <f>1/'Área e produtividade'!D8</f>
        <v>2.6737967914438501E-3</v>
      </c>
      <c r="E9" s="91">
        <v>16</v>
      </c>
      <c r="F9" s="91">
        <f>1/188.76</f>
        <v>5.2977325704598403E-3</v>
      </c>
      <c r="G9" s="91">
        <f>D9*E9*F9</f>
        <v>2.2664096558116999E-4</v>
      </c>
      <c r="H9" s="92" t="e">
        <f t="shared" si="0"/>
        <v>#REF!</v>
      </c>
      <c r="I9" s="91" t="e">
        <f>G9*H9</f>
        <v>#REF!</v>
      </c>
    </row>
    <row r="10" spans="1:9">
      <c r="A10" s="132" t="s">
        <v>159</v>
      </c>
      <c r="B10" s="82" t="s">
        <v>7</v>
      </c>
      <c r="C10" s="137" t="s">
        <v>1</v>
      </c>
      <c r="D10" s="93">
        <f>1/('Área e produtividade'!D2*'Quantidade colaboradores'!$C$9)</f>
        <v>3.7331119002640897E-5</v>
      </c>
      <c r="E10" s="91" t="s">
        <v>172</v>
      </c>
      <c r="F10" s="91" t="s">
        <v>172</v>
      </c>
      <c r="G10" s="91" t="s">
        <v>172</v>
      </c>
      <c r="H10" s="92" t="e">
        <f>[0]!VALOR_TOTAL_ENC</f>
        <v>#REF!</v>
      </c>
      <c r="I10" s="91" t="e">
        <f>D10*H10</f>
        <v>#REF!</v>
      </c>
    </row>
    <row r="11" spans="1:9">
      <c r="A11" s="132"/>
      <c r="B11" s="82" t="s">
        <v>33</v>
      </c>
      <c r="C11" s="137"/>
      <c r="D11" s="93">
        <f>1/('Área e produtividade'!D3*'Quantidade colaboradores'!$C$9)</f>
        <v>8.3248809186327799E-4</v>
      </c>
      <c r="E11" s="91" t="s">
        <v>172</v>
      </c>
      <c r="F11" s="91" t="s">
        <v>172</v>
      </c>
      <c r="G11" s="91" t="s">
        <v>172</v>
      </c>
      <c r="H11" s="92" t="e">
        <f>[0]!VALOR_TOTAL_ENC</f>
        <v>#REF!</v>
      </c>
      <c r="I11" s="91" t="e">
        <f>D11*H11</f>
        <v>#REF!</v>
      </c>
    </row>
    <row r="12" spans="1:9">
      <c r="A12" s="132"/>
      <c r="B12" s="82" t="s">
        <v>19</v>
      </c>
      <c r="C12" s="137"/>
      <c r="D12" s="93">
        <f>1/('Área e produtividade'!D4*'Quantidade colaboradores'!$C$9)</f>
        <v>7.4662238005281903E-5</v>
      </c>
      <c r="E12" s="91" t="s">
        <v>172</v>
      </c>
      <c r="F12" s="91" t="s">
        <v>172</v>
      </c>
      <c r="G12" s="91" t="s">
        <v>172</v>
      </c>
      <c r="H12" s="92" t="e">
        <f>[0]!VALOR_TOTAL_ENC</f>
        <v>#REF!</v>
      </c>
      <c r="I12" s="91" t="e">
        <f>D12*H12</f>
        <v>#REF!</v>
      </c>
    </row>
    <row r="13" spans="1:9">
      <c r="A13" s="133" t="s">
        <v>160</v>
      </c>
      <c r="B13" s="82" t="s">
        <v>130</v>
      </c>
      <c r="C13" s="137"/>
      <c r="D13" s="93">
        <f>1/('Área e produtividade'!D5*'Quantidade colaboradores'!$C$9)</f>
        <v>3.31832168912364E-5</v>
      </c>
      <c r="E13" s="91" t="s">
        <v>172</v>
      </c>
      <c r="F13" s="91" t="s">
        <v>172</v>
      </c>
      <c r="G13" s="91" t="s">
        <v>172</v>
      </c>
      <c r="H13" s="92" t="e">
        <f>[0]!VALOR_TOTAL_ENC</f>
        <v>#REF!</v>
      </c>
      <c r="I13" s="91" t="e">
        <f>D13*H13</f>
        <v>#REF!</v>
      </c>
    </row>
    <row r="14" spans="1:9">
      <c r="A14" s="133"/>
      <c r="B14" s="82" t="s">
        <v>108</v>
      </c>
      <c r="C14" s="137"/>
      <c r="D14" s="93">
        <f>1/('Área e produtividade'!D6*'Quantidade colaboradores'!$C$9)</f>
        <v>9.95496506737092E-6</v>
      </c>
      <c r="E14" s="91" t="s">
        <v>172</v>
      </c>
      <c r="F14" s="91" t="s">
        <v>172</v>
      </c>
      <c r="G14" s="91" t="s">
        <v>172</v>
      </c>
      <c r="H14" s="92" t="e">
        <f>[0]!VALOR_TOTAL_ENC</f>
        <v>#REF!</v>
      </c>
      <c r="I14" s="91" t="e">
        <f>D14*H14</f>
        <v>#REF!</v>
      </c>
    </row>
    <row r="15" spans="1:9">
      <c r="A15" s="134" t="s">
        <v>161</v>
      </c>
      <c r="B15" s="82" t="s">
        <v>117</v>
      </c>
      <c r="C15" s="137"/>
      <c r="D15" s="93">
        <f>1/('Área e produtividade'!D7*'Quantidade colaboradores'!$C$9)</f>
        <v>2.19594817662594E-4</v>
      </c>
      <c r="E15" s="91">
        <v>16</v>
      </c>
      <c r="F15" s="91">
        <f>1/188.76</f>
        <v>5.2977325704598403E-3</v>
      </c>
      <c r="G15" s="91">
        <f>D15*E15*F15</f>
        <v>1.8613673885365E-5</v>
      </c>
      <c r="H15" s="92" t="e">
        <f>[0]!VALOR_TOTAL_ENC</f>
        <v>#REF!</v>
      </c>
      <c r="I15" s="91" t="e">
        <f>G15*H15</f>
        <v>#REF!</v>
      </c>
    </row>
    <row r="16" spans="1:9">
      <c r="A16" s="134"/>
      <c r="B16" s="82" t="s">
        <v>135</v>
      </c>
      <c r="C16" s="137"/>
      <c r="D16" s="93">
        <f>1/('Área e produtividade'!D8*'Quantidade colaboradores'!$C$9)</f>
        <v>2.19594817662594E-4</v>
      </c>
      <c r="E16" s="91">
        <v>16</v>
      </c>
      <c r="F16" s="91">
        <f>1/188.76</f>
        <v>5.2977325704598403E-3</v>
      </c>
      <c r="G16" s="91">
        <f>D16*E16*F16</f>
        <v>1.8613673885365E-5</v>
      </c>
      <c r="H16" s="92" t="e">
        <f>[0]!VALOR_TOTAL_ENC</f>
        <v>#REF!</v>
      </c>
      <c r="I16" s="91" t="e">
        <f>G16*H16</f>
        <v>#REF!</v>
      </c>
    </row>
  </sheetData>
  <mergeCells count="10">
    <mergeCell ref="A10:A12"/>
    <mergeCell ref="C10:C16"/>
    <mergeCell ref="A13:A14"/>
    <mergeCell ref="A15:A16"/>
    <mergeCell ref="D1:I1"/>
    <mergeCell ref="A2:B2"/>
    <mergeCell ref="A3:A5"/>
    <mergeCell ref="C3:C9"/>
    <mergeCell ref="A6:A7"/>
    <mergeCell ref="A8:A9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8"/>
  <sheetViews>
    <sheetView showGridLines="0" zoomScale="110" zoomScaleNormal="110" workbookViewId="0">
      <selection activeCell="B5" sqref="B5"/>
    </sheetView>
  </sheetViews>
  <sheetFormatPr defaultRowHeight="12.75"/>
  <cols>
    <col min="1" max="1" width="6" style="94" bestFit="1" customWidth="1"/>
    <col min="2" max="2" width="111" style="94" bestFit="1" customWidth="1"/>
    <col min="3" max="3" width="15.7109375" style="94" bestFit="1" customWidth="1"/>
    <col min="4" max="4" width="18.85546875" style="94" bestFit="1" customWidth="1"/>
    <col min="5" max="7" width="12.7109375" style="94" bestFit="1" customWidth="1"/>
    <col min="8" max="8" width="11" style="94" bestFit="1" customWidth="1"/>
    <col min="9" max="9" width="13.85546875" style="94" bestFit="1" customWidth="1"/>
    <col min="10" max="10" width="15.5703125" style="94" bestFit="1" customWidth="1"/>
    <col min="11" max="16384" width="9.140625" style="94"/>
  </cols>
  <sheetData>
    <row r="1" spans="1:10" ht="18.75" customHeight="1">
      <c r="A1" s="139" t="s">
        <v>173</v>
      </c>
      <c r="B1" s="140"/>
      <c r="C1" s="140"/>
      <c r="D1" s="140"/>
      <c r="E1" s="140"/>
      <c r="F1" s="140"/>
      <c r="G1" s="140"/>
      <c r="H1" s="140"/>
      <c r="I1" s="140"/>
      <c r="J1" s="141"/>
    </row>
    <row r="2" spans="1:10" ht="30">
      <c r="A2" s="95" t="s">
        <v>174</v>
      </c>
      <c r="B2" s="95" t="s">
        <v>175</v>
      </c>
      <c r="C2" s="95" t="s">
        <v>176</v>
      </c>
      <c r="D2" s="95" t="s">
        <v>177</v>
      </c>
      <c r="E2" s="95" t="s">
        <v>178</v>
      </c>
      <c r="F2" s="95" t="s">
        <v>179</v>
      </c>
      <c r="G2" s="95" t="s">
        <v>180</v>
      </c>
      <c r="H2" s="95" t="s">
        <v>181</v>
      </c>
      <c r="I2" s="95" t="s">
        <v>182</v>
      </c>
      <c r="J2" s="95" t="s">
        <v>183</v>
      </c>
    </row>
    <row r="3" spans="1:10">
      <c r="A3" s="96">
        <v>1</v>
      </c>
      <c r="B3" s="97" t="s">
        <v>184</v>
      </c>
      <c r="C3" s="96" t="s">
        <v>505</v>
      </c>
      <c r="D3" s="96">
        <v>6</v>
      </c>
      <c r="E3" s="122">
        <v>209</v>
      </c>
      <c r="F3" s="122">
        <v>339</v>
      </c>
      <c r="G3" s="122">
        <v>369</v>
      </c>
      <c r="H3" s="114">
        <f>SMALL(E3:G3,1)</f>
        <v>209</v>
      </c>
      <c r="I3" s="114">
        <f>D3*H3</f>
        <v>1254</v>
      </c>
      <c r="J3" s="114">
        <f>I3/12</f>
        <v>104.5</v>
      </c>
    </row>
    <row r="4" spans="1:10" ht="25.5">
      <c r="A4" s="96">
        <v>2</v>
      </c>
      <c r="B4" s="97" t="s">
        <v>185</v>
      </c>
      <c r="C4" s="96" t="s">
        <v>506</v>
      </c>
      <c r="D4" s="96">
        <v>10</v>
      </c>
      <c r="E4" s="122">
        <v>52.92</v>
      </c>
      <c r="F4" s="122">
        <v>59.99</v>
      </c>
      <c r="G4" s="122">
        <v>65</v>
      </c>
      <c r="H4" s="114">
        <f t="shared" ref="H4:H7" si="0">SMALL(E4:G4,1)</f>
        <v>52.92</v>
      </c>
      <c r="I4" s="114">
        <f t="shared" ref="I4:I7" si="1">D4*H4</f>
        <v>529.20000000000005</v>
      </c>
      <c r="J4" s="114">
        <f t="shared" ref="J4:J7" si="2">I4/12</f>
        <v>44.1</v>
      </c>
    </row>
    <row r="5" spans="1:10">
      <c r="A5" s="96">
        <v>3</v>
      </c>
      <c r="B5" s="97" t="s">
        <v>186</v>
      </c>
      <c r="C5" s="96" t="s">
        <v>507</v>
      </c>
      <c r="D5" s="96">
        <v>6</v>
      </c>
      <c r="E5" s="122">
        <v>75.900000000000006</v>
      </c>
      <c r="F5" s="122">
        <v>79.900000000000006</v>
      </c>
      <c r="G5" s="122">
        <v>109.9</v>
      </c>
      <c r="H5" s="114">
        <f t="shared" si="0"/>
        <v>75.900000000000006</v>
      </c>
      <c r="I5" s="114">
        <f t="shared" si="1"/>
        <v>455.4</v>
      </c>
      <c r="J5" s="114">
        <f t="shared" si="2"/>
        <v>37.950000000000003</v>
      </c>
    </row>
    <row r="6" spans="1:10">
      <c r="A6" s="96">
        <v>4</v>
      </c>
      <c r="B6" s="97" t="s">
        <v>187</v>
      </c>
      <c r="C6" s="96" t="s">
        <v>508</v>
      </c>
      <c r="D6" s="96">
        <v>2</v>
      </c>
      <c r="E6" s="122">
        <v>35.99</v>
      </c>
      <c r="F6" s="122">
        <v>43.22</v>
      </c>
      <c r="G6" s="122">
        <v>68.989999999999995</v>
      </c>
      <c r="H6" s="114">
        <f t="shared" si="0"/>
        <v>35.99</v>
      </c>
      <c r="I6" s="114">
        <f t="shared" si="1"/>
        <v>71.98</v>
      </c>
      <c r="J6" s="114">
        <f t="shared" si="2"/>
        <v>6</v>
      </c>
    </row>
    <row r="7" spans="1:10">
      <c r="A7" s="96">
        <v>5</v>
      </c>
      <c r="B7" s="97" t="s">
        <v>188</v>
      </c>
      <c r="C7" s="96" t="s">
        <v>509</v>
      </c>
      <c r="D7" s="96">
        <v>4</v>
      </c>
      <c r="E7" s="122">
        <v>47.99</v>
      </c>
      <c r="F7" s="122">
        <v>64.5</v>
      </c>
      <c r="G7" s="122">
        <v>89.9</v>
      </c>
      <c r="H7" s="114">
        <f t="shared" si="0"/>
        <v>47.99</v>
      </c>
      <c r="I7" s="114">
        <f t="shared" si="1"/>
        <v>191.96</v>
      </c>
      <c r="J7" s="114">
        <f t="shared" si="2"/>
        <v>16</v>
      </c>
    </row>
    <row r="8" spans="1:10" ht="15">
      <c r="A8" s="142" t="s">
        <v>296</v>
      </c>
      <c r="B8" s="143"/>
      <c r="C8" s="143"/>
      <c r="D8" s="143"/>
      <c r="E8" s="143"/>
      <c r="F8" s="143"/>
      <c r="G8" s="143"/>
      <c r="H8" s="143"/>
      <c r="I8" s="144"/>
      <c r="J8" s="123">
        <f>SUM(J3:J7)</f>
        <v>208.55</v>
      </c>
    </row>
    <row r="9" spans="1:10">
      <c r="A9" s="98"/>
      <c r="B9" s="98"/>
      <c r="C9" s="98"/>
      <c r="D9" s="98"/>
      <c r="E9" s="98"/>
      <c r="F9" s="98"/>
      <c r="G9" s="98"/>
      <c r="H9" s="98"/>
      <c r="I9" s="98"/>
      <c r="J9" s="99"/>
    </row>
    <row r="10" spans="1:10" ht="18.75" customHeight="1">
      <c r="A10" s="139" t="s">
        <v>189</v>
      </c>
      <c r="B10" s="140"/>
      <c r="C10" s="140"/>
      <c r="D10" s="140"/>
      <c r="E10" s="140"/>
      <c r="F10" s="140"/>
      <c r="G10" s="140"/>
      <c r="H10" s="140"/>
      <c r="I10" s="140"/>
      <c r="J10" s="141"/>
    </row>
    <row r="11" spans="1:10" ht="30">
      <c r="A11" s="95" t="s">
        <v>174</v>
      </c>
      <c r="B11" s="95" t="s">
        <v>175</v>
      </c>
      <c r="C11" s="95" t="s">
        <v>176</v>
      </c>
      <c r="D11" s="95" t="s">
        <v>177</v>
      </c>
      <c r="E11" s="95" t="s">
        <v>178</v>
      </c>
      <c r="F11" s="95" t="s">
        <v>179</v>
      </c>
      <c r="G11" s="95" t="s">
        <v>180</v>
      </c>
      <c r="H11" s="95" t="s">
        <v>181</v>
      </c>
      <c r="I11" s="95" t="s">
        <v>182</v>
      </c>
      <c r="J11" s="95" t="s">
        <v>183</v>
      </c>
    </row>
    <row r="12" spans="1:10" ht="25.5">
      <c r="A12" s="101">
        <v>1</v>
      </c>
      <c r="B12" s="102" t="s">
        <v>495</v>
      </c>
      <c r="C12" s="96" t="s">
        <v>510</v>
      </c>
      <c r="D12" s="96">
        <v>2</v>
      </c>
      <c r="E12" s="116">
        <v>50.65</v>
      </c>
      <c r="F12" s="116">
        <v>91.9</v>
      </c>
      <c r="G12" s="116">
        <v>84.9</v>
      </c>
      <c r="H12" s="114">
        <f>SMALL(E12:G12,1)</f>
        <v>50.65</v>
      </c>
      <c r="I12" s="114">
        <f>D12*H12</f>
        <v>101.3</v>
      </c>
      <c r="J12" s="114">
        <f>I12/12</f>
        <v>8.44</v>
      </c>
    </row>
    <row r="13" spans="1:10" ht="25.5">
      <c r="A13" s="96">
        <v>2</v>
      </c>
      <c r="B13" s="97" t="s">
        <v>190</v>
      </c>
      <c r="C13" s="96" t="s">
        <v>509</v>
      </c>
      <c r="D13" s="96">
        <v>4</v>
      </c>
      <c r="E13" s="113">
        <v>49.9</v>
      </c>
      <c r="F13" s="113">
        <v>51.9</v>
      </c>
      <c r="G13" s="113">
        <v>59.9</v>
      </c>
      <c r="H13" s="114">
        <f>SMALL(E13:G13,1)</f>
        <v>49.9</v>
      </c>
      <c r="I13" s="114">
        <f>D13*H13</f>
        <v>199.6</v>
      </c>
      <c r="J13" s="114">
        <f>I13/12</f>
        <v>16.63</v>
      </c>
    </row>
    <row r="14" spans="1:10">
      <c r="A14" s="96">
        <v>3</v>
      </c>
      <c r="B14" s="97" t="s">
        <v>191</v>
      </c>
      <c r="C14" s="96" t="s">
        <v>511</v>
      </c>
      <c r="D14" s="96">
        <v>8</v>
      </c>
      <c r="E14" s="113">
        <v>42.43</v>
      </c>
      <c r="F14" s="113">
        <v>61.98</v>
      </c>
      <c r="G14" s="113">
        <v>93.57</v>
      </c>
      <c r="H14" s="114">
        <f t="shared" ref="H14:H17" si="3">SMALL(E14:G14,1)</f>
        <v>42.43</v>
      </c>
      <c r="I14" s="114">
        <f t="shared" ref="I14:I17" si="4">D14*H14</f>
        <v>339.44</v>
      </c>
      <c r="J14" s="114">
        <f t="shared" ref="J14:J17" si="5">I14/12</f>
        <v>28.29</v>
      </c>
    </row>
    <row r="15" spans="1:10">
      <c r="A15" s="101">
        <v>4</v>
      </c>
      <c r="B15" s="97" t="s">
        <v>192</v>
      </c>
      <c r="C15" s="96" t="s">
        <v>506</v>
      </c>
      <c r="D15" s="96">
        <v>10</v>
      </c>
      <c r="E15" s="113">
        <v>16.899999999999999</v>
      </c>
      <c r="F15" s="113">
        <v>23.9</v>
      </c>
      <c r="G15" s="113">
        <v>27.9</v>
      </c>
      <c r="H15" s="114">
        <f t="shared" si="3"/>
        <v>16.899999999999999</v>
      </c>
      <c r="I15" s="114">
        <f t="shared" si="4"/>
        <v>169</v>
      </c>
      <c r="J15" s="114">
        <f t="shared" si="5"/>
        <v>14.08</v>
      </c>
    </row>
    <row r="16" spans="1:10">
      <c r="A16" s="96">
        <v>5</v>
      </c>
      <c r="B16" s="97" t="s">
        <v>193</v>
      </c>
      <c r="C16" s="96" t="s">
        <v>505</v>
      </c>
      <c r="D16" s="96">
        <v>6</v>
      </c>
      <c r="E16" s="113">
        <v>21.9</v>
      </c>
      <c r="F16" s="113">
        <v>23.9</v>
      </c>
      <c r="G16" s="113">
        <v>34.299999999999997</v>
      </c>
      <c r="H16" s="114">
        <f t="shared" si="3"/>
        <v>21.9</v>
      </c>
      <c r="I16" s="114">
        <f t="shared" si="4"/>
        <v>131.4</v>
      </c>
      <c r="J16" s="114">
        <f t="shared" si="5"/>
        <v>10.95</v>
      </c>
    </row>
    <row r="17" spans="1:10">
      <c r="A17" s="101">
        <v>6</v>
      </c>
      <c r="B17" s="97" t="s">
        <v>187</v>
      </c>
      <c r="C17" s="96" t="s">
        <v>512</v>
      </c>
      <c r="D17" s="96">
        <v>4</v>
      </c>
      <c r="E17" s="113">
        <v>35.99</v>
      </c>
      <c r="F17" s="113">
        <v>43.22</v>
      </c>
      <c r="G17" s="113">
        <v>68.989999999999995</v>
      </c>
      <c r="H17" s="114">
        <f t="shared" si="3"/>
        <v>35.99</v>
      </c>
      <c r="I17" s="114">
        <f t="shared" si="4"/>
        <v>143.96</v>
      </c>
      <c r="J17" s="114">
        <f t="shared" si="5"/>
        <v>12</v>
      </c>
    </row>
    <row r="18" spans="1:10" ht="15">
      <c r="A18" s="145" t="s">
        <v>311</v>
      </c>
      <c r="B18" s="145"/>
      <c r="C18" s="145"/>
      <c r="D18" s="145"/>
      <c r="E18" s="145"/>
      <c r="F18" s="145"/>
      <c r="G18" s="145"/>
      <c r="H18" s="145"/>
      <c r="I18" s="145"/>
      <c r="J18" s="123">
        <f>SUM(J12:J17)</f>
        <v>90.39</v>
      </c>
    </row>
  </sheetData>
  <mergeCells count="4">
    <mergeCell ref="A1:J1"/>
    <mergeCell ref="A8:I8"/>
    <mergeCell ref="A10:J10"/>
    <mergeCell ref="A18:I1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67"/>
  <sheetViews>
    <sheetView showGridLines="0" topLeftCell="A49" zoomScale="130" zoomScaleNormal="130" workbookViewId="0">
      <selection sqref="A1:J1"/>
    </sheetView>
  </sheetViews>
  <sheetFormatPr defaultRowHeight="12.75"/>
  <cols>
    <col min="1" max="1" width="5.85546875" style="94" bestFit="1" customWidth="1"/>
    <col min="2" max="2" width="82.42578125" style="94" bestFit="1" customWidth="1"/>
    <col min="3" max="3" width="28.5703125" style="94" bestFit="1" customWidth="1"/>
    <col min="4" max="4" width="17.28515625" style="94" bestFit="1" customWidth="1"/>
    <col min="5" max="8" width="10" style="94" bestFit="1" customWidth="1"/>
    <col min="9" max="9" width="12.42578125" style="94" bestFit="1" customWidth="1"/>
    <col min="10" max="10" width="16.140625" style="94" bestFit="1" customWidth="1"/>
    <col min="11" max="16384" width="9.140625" style="94"/>
  </cols>
  <sheetData>
    <row r="1" spans="1:10" ht="18.75">
      <c r="A1" s="147" t="s">
        <v>189</v>
      </c>
      <c r="B1" s="147"/>
      <c r="C1" s="147"/>
      <c r="D1" s="147"/>
      <c r="E1" s="147"/>
      <c r="F1" s="147"/>
      <c r="G1" s="147"/>
      <c r="H1" s="147"/>
      <c r="I1" s="147"/>
      <c r="J1" s="147"/>
    </row>
    <row r="2" spans="1:10" s="100" customFormat="1" ht="45">
      <c r="A2" s="104" t="s">
        <v>174</v>
      </c>
      <c r="B2" s="104" t="s">
        <v>175</v>
      </c>
      <c r="C2" s="104" t="s">
        <v>196</v>
      </c>
      <c r="D2" s="104" t="s">
        <v>177</v>
      </c>
      <c r="E2" s="104" t="s">
        <v>178</v>
      </c>
      <c r="F2" s="104" t="s">
        <v>179</v>
      </c>
      <c r="G2" s="104" t="s">
        <v>180</v>
      </c>
      <c r="H2" s="104" t="s">
        <v>181</v>
      </c>
      <c r="I2" s="104" t="s">
        <v>182</v>
      </c>
      <c r="J2" s="104" t="s">
        <v>183</v>
      </c>
    </row>
    <row r="3" spans="1:10">
      <c r="A3" s="101">
        <v>1</v>
      </c>
      <c r="B3" s="102" t="s">
        <v>496</v>
      </c>
      <c r="C3" s="96" t="s">
        <v>220</v>
      </c>
      <c r="D3" s="96">
        <v>24</v>
      </c>
      <c r="E3" s="113">
        <v>1.82</v>
      </c>
      <c r="F3" s="113">
        <v>4.2300000000000004</v>
      </c>
      <c r="G3" s="113">
        <v>1.9</v>
      </c>
      <c r="H3" s="114">
        <f t="shared" ref="H3:H34" si="0">SMALL(E3:G3,1)</f>
        <v>1.82</v>
      </c>
      <c r="I3" s="114">
        <f t="shared" ref="I3:I34" si="1">D3*H3</f>
        <v>43.68</v>
      </c>
      <c r="J3" s="114">
        <f t="shared" ref="J3:J34" si="2">I3/12</f>
        <v>3.64</v>
      </c>
    </row>
    <row r="4" spans="1:10" ht="25.5">
      <c r="A4" s="101">
        <v>2</v>
      </c>
      <c r="B4" s="102" t="s">
        <v>197</v>
      </c>
      <c r="C4" s="101" t="s">
        <v>513</v>
      </c>
      <c r="D4" s="101">
        <f>50*12</f>
        <v>600</v>
      </c>
      <c r="E4" s="113">
        <v>3.49</v>
      </c>
      <c r="F4" s="113">
        <v>3.99</v>
      </c>
      <c r="G4" s="113">
        <v>3.99</v>
      </c>
      <c r="H4" s="114">
        <f t="shared" si="0"/>
        <v>3.49</v>
      </c>
      <c r="I4" s="114">
        <f t="shared" si="1"/>
        <v>2094</v>
      </c>
      <c r="J4" s="114">
        <f t="shared" si="2"/>
        <v>174.5</v>
      </c>
    </row>
    <row r="5" spans="1:10">
      <c r="A5" s="101">
        <v>3</v>
      </c>
      <c r="B5" s="102" t="s">
        <v>198</v>
      </c>
      <c r="C5" s="101" t="s">
        <v>199</v>
      </c>
      <c r="D5" s="101">
        <f>35*12</f>
        <v>420</v>
      </c>
      <c r="E5" s="113">
        <v>8.99</v>
      </c>
      <c r="F5" s="113">
        <v>9.65</v>
      </c>
      <c r="G5" s="113">
        <v>11.99</v>
      </c>
      <c r="H5" s="114">
        <f t="shared" si="0"/>
        <v>8.99</v>
      </c>
      <c r="I5" s="114">
        <f t="shared" si="1"/>
        <v>3775.8</v>
      </c>
      <c r="J5" s="114">
        <f t="shared" si="2"/>
        <v>314.64999999999998</v>
      </c>
    </row>
    <row r="6" spans="1:10">
      <c r="A6" s="101">
        <v>4</v>
      </c>
      <c r="B6" s="102" t="s">
        <v>201</v>
      </c>
      <c r="C6" s="101" t="s">
        <v>202</v>
      </c>
      <c r="D6" s="101">
        <f>15*12</f>
        <v>180</v>
      </c>
      <c r="E6" s="113">
        <v>7.9</v>
      </c>
      <c r="F6" s="113">
        <v>8.89</v>
      </c>
      <c r="G6" s="113">
        <v>7.9</v>
      </c>
      <c r="H6" s="114">
        <f t="shared" si="0"/>
        <v>7.9</v>
      </c>
      <c r="I6" s="114">
        <f t="shared" si="1"/>
        <v>1422</v>
      </c>
      <c r="J6" s="114">
        <f t="shared" si="2"/>
        <v>118.5</v>
      </c>
    </row>
    <row r="7" spans="1:10" ht="25.5">
      <c r="A7" s="101">
        <v>5</v>
      </c>
      <c r="B7" s="102" t="s">
        <v>206</v>
      </c>
      <c r="C7" s="101" t="s">
        <v>473</v>
      </c>
      <c r="D7" s="101">
        <f>5*12</f>
        <v>60</v>
      </c>
      <c r="E7" s="113">
        <v>101</v>
      </c>
      <c r="F7" s="113">
        <v>119.9</v>
      </c>
      <c r="G7" s="113">
        <v>82.11</v>
      </c>
      <c r="H7" s="114">
        <f t="shared" si="0"/>
        <v>82.11</v>
      </c>
      <c r="I7" s="114">
        <f t="shared" si="1"/>
        <v>4926.6000000000004</v>
      </c>
      <c r="J7" s="114">
        <f t="shared" si="2"/>
        <v>410.55</v>
      </c>
    </row>
    <row r="8" spans="1:10">
      <c r="A8" s="101">
        <v>6</v>
      </c>
      <c r="B8" s="102" t="s">
        <v>208</v>
      </c>
      <c r="C8" s="101" t="s">
        <v>209</v>
      </c>
      <c r="D8" s="101">
        <f>8*12</f>
        <v>96</v>
      </c>
      <c r="E8" s="113">
        <v>13.97</v>
      </c>
      <c r="F8" s="113">
        <v>11</v>
      </c>
      <c r="G8" s="113">
        <v>12.9</v>
      </c>
      <c r="H8" s="114">
        <f t="shared" si="0"/>
        <v>11</v>
      </c>
      <c r="I8" s="114">
        <f t="shared" si="1"/>
        <v>1056</v>
      </c>
      <c r="J8" s="114">
        <f t="shared" si="2"/>
        <v>88</v>
      </c>
    </row>
    <row r="9" spans="1:10" ht="25.5">
      <c r="A9" s="101">
        <v>7</v>
      </c>
      <c r="B9" s="102" t="s">
        <v>210</v>
      </c>
      <c r="C9" s="101" t="s">
        <v>474</v>
      </c>
      <c r="D9" s="101">
        <v>6</v>
      </c>
      <c r="E9" s="113">
        <v>139.9</v>
      </c>
      <c r="F9" s="113">
        <v>141.79</v>
      </c>
      <c r="G9" s="113">
        <v>158.9</v>
      </c>
      <c r="H9" s="114">
        <f t="shared" si="0"/>
        <v>139.9</v>
      </c>
      <c r="I9" s="114">
        <f t="shared" si="1"/>
        <v>839.4</v>
      </c>
      <c r="J9" s="114">
        <f t="shared" si="2"/>
        <v>69.95</v>
      </c>
    </row>
    <row r="10" spans="1:10" ht="25.5">
      <c r="A10" s="101">
        <v>8</v>
      </c>
      <c r="B10" s="102" t="s">
        <v>211</v>
      </c>
      <c r="C10" s="101" t="s">
        <v>212</v>
      </c>
      <c r="D10" s="101">
        <f>16*12</f>
        <v>192</v>
      </c>
      <c r="E10" s="113">
        <v>2.34</v>
      </c>
      <c r="F10" s="113">
        <v>2.9</v>
      </c>
      <c r="G10" s="113">
        <v>2.79</v>
      </c>
      <c r="H10" s="114">
        <f t="shared" si="0"/>
        <v>2.34</v>
      </c>
      <c r="I10" s="114">
        <f t="shared" si="1"/>
        <v>449.28</v>
      </c>
      <c r="J10" s="114">
        <f t="shared" si="2"/>
        <v>37.44</v>
      </c>
    </row>
    <row r="11" spans="1:10" ht="25.5">
      <c r="A11" s="101">
        <v>9</v>
      </c>
      <c r="B11" s="102" t="s">
        <v>214</v>
      </c>
      <c r="C11" s="101" t="s">
        <v>215</v>
      </c>
      <c r="D11" s="101">
        <f>36*12</f>
        <v>432</v>
      </c>
      <c r="E11" s="113">
        <v>6.99</v>
      </c>
      <c r="F11" s="113">
        <v>6.49</v>
      </c>
      <c r="G11" s="113">
        <v>7.29</v>
      </c>
      <c r="H11" s="114">
        <f t="shared" si="0"/>
        <v>6.49</v>
      </c>
      <c r="I11" s="114">
        <f t="shared" si="1"/>
        <v>2803.68</v>
      </c>
      <c r="J11" s="114">
        <f t="shared" si="2"/>
        <v>233.64</v>
      </c>
    </row>
    <row r="12" spans="1:10" ht="25.5">
      <c r="A12" s="101">
        <v>10</v>
      </c>
      <c r="B12" s="102" t="s">
        <v>213</v>
      </c>
      <c r="C12" s="101" t="s">
        <v>475</v>
      </c>
      <c r="D12" s="101">
        <f>4*12</f>
        <v>48</v>
      </c>
      <c r="E12" s="113">
        <v>56.53</v>
      </c>
      <c r="F12" s="113">
        <v>52</v>
      </c>
      <c r="G12" s="113">
        <v>64.900000000000006</v>
      </c>
      <c r="H12" s="114">
        <f t="shared" si="0"/>
        <v>52</v>
      </c>
      <c r="I12" s="114">
        <f t="shared" si="1"/>
        <v>2496</v>
      </c>
      <c r="J12" s="114">
        <f t="shared" si="2"/>
        <v>208</v>
      </c>
    </row>
    <row r="13" spans="1:10">
      <c r="A13" s="101">
        <v>11</v>
      </c>
      <c r="B13" s="102" t="s">
        <v>219</v>
      </c>
      <c r="C13" s="101" t="s">
        <v>220</v>
      </c>
      <c r="D13" s="101">
        <f>2*12</f>
        <v>24</v>
      </c>
      <c r="E13" s="113">
        <v>165.87</v>
      </c>
      <c r="F13" s="113">
        <v>140.13</v>
      </c>
      <c r="G13" s="113">
        <v>176.7</v>
      </c>
      <c r="H13" s="114">
        <f t="shared" si="0"/>
        <v>140.13</v>
      </c>
      <c r="I13" s="114">
        <f t="shared" si="1"/>
        <v>3363.12</v>
      </c>
      <c r="J13" s="114">
        <f t="shared" si="2"/>
        <v>280.26</v>
      </c>
    </row>
    <row r="14" spans="1:10">
      <c r="A14" s="101">
        <v>12</v>
      </c>
      <c r="B14" s="102" t="s">
        <v>216</v>
      </c>
      <c r="C14" s="101" t="s">
        <v>217</v>
      </c>
      <c r="D14" s="101">
        <f>6*12</f>
        <v>72</v>
      </c>
      <c r="E14" s="113">
        <v>26.85</v>
      </c>
      <c r="F14" s="113">
        <v>25</v>
      </c>
      <c r="G14" s="113">
        <v>20.91</v>
      </c>
      <c r="H14" s="114">
        <f t="shared" si="0"/>
        <v>20.91</v>
      </c>
      <c r="I14" s="114">
        <f t="shared" si="1"/>
        <v>1505.52</v>
      </c>
      <c r="J14" s="114">
        <f t="shared" si="2"/>
        <v>125.46</v>
      </c>
    </row>
    <row r="15" spans="1:10">
      <c r="A15" s="101">
        <v>13</v>
      </c>
      <c r="B15" s="102" t="s">
        <v>218</v>
      </c>
      <c r="C15" s="101" t="s">
        <v>202</v>
      </c>
      <c r="D15" s="101">
        <f>15*12</f>
        <v>180</v>
      </c>
      <c r="E15" s="113">
        <v>40.6</v>
      </c>
      <c r="F15" s="113">
        <v>48.36</v>
      </c>
      <c r="G15" s="113">
        <v>46</v>
      </c>
      <c r="H15" s="114">
        <f t="shared" si="0"/>
        <v>40.6</v>
      </c>
      <c r="I15" s="114">
        <f t="shared" si="1"/>
        <v>7308</v>
      </c>
      <c r="J15" s="114">
        <f t="shared" si="2"/>
        <v>609</v>
      </c>
    </row>
    <row r="16" spans="1:10">
      <c r="A16" s="101">
        <v>14</v>
      </c>
      <c r="B16" s="102" t="s">
        <v>221</v>
      </c>
      <c r="C16" s="101" t="s">
        <v>209</v>
      </c>
      <c r="D16" s="101">
        <f>8*12</f>
        <v>96</v>
      </c>
      <c r="E16" s="113">
        <v>3.16</v>
      </c>
      <c r="F16" s="113">
        <v>7.9</v>
      </c>
      <c r="G16" s="113">
        <v>5.05</v>
      </c>
      <c r="H16" s="114">
        <f t="shared" si="0"/>
        <v>3.16</v>
      </c>
      <c r="I16" s="114">
        <f t="shared" si="1"/>
        <v>303.36</v>
      </c>
      <c r="J16" s="114">
        <f t="shared" si="2"/>
        <v>25.28</v>
      </c>
    </row>
    <row r="17" spans="1:10">
      <c r="A17" s="101">
        <v>15</v>
      </c>
      <c r="B17" s="102" t="s">
        <v>222</v>
      </c>
      <c r="C17" s="101" t="s">
        <v>223</v>
      </c>
      <c r="D17" s="101">
        <v>12</v>
      </c>
      <c r="E17" s="113">
        <v>30.31</v>
      </c>
      <c r="F17" s="113">
        <v>33.25</v>
      </c>
      <c r="G17" s="113">
        <v>25.9</v>
      </c>
      <c r="H17" s="114">
        <f t="shared" si="0"/>
        <v>25.9</v>
      </c>
      <c r="I17" s="114">
        <f t="shared" si="1"/>
        <v>310.8</v>
      </c>
      <c r="J17" s="114">
        <f t="shared" si="2"/>
        <v>25.9</v>
      </c>
    </row>
    <row r="18" spans="1:10" ht="25.5">
      <c r="A18" s="101">
        <v>16</v>
      </c>
      <c r="B18" s="102" t="s">
        <v>224</v>
      </c>
      <c r="C18" s="101" t="s">
        <v>225</v>
      </c>
      <c r="D18" s="101">
        <f>50*12</f>
        <v>600</v>
      </c>
      <c r="E18" s="113">
        <v>0.9</v>
      </c>
      <c r="F18" s="113">
        <v>1.33</v>
      </c>
      <c r="G18" s="113">
        <v>0.99</v>
      </c>
      <c r="H18" s="114">
        <f t="shared" si="0"/>
        <v>0.9</v>
      </c>
      <c r="I18" s="114">
        <f t="shared" si="1"/>
        <v>540</v>
      </c>
      <c r="J18" s="114">
        <f t="shared" si="2"/>
        <v>45</v>
      </c>
    </row>
    <row r="19" spans="1:10" ht="25.5">
      <c r="A19" s="101">
        <v>17</v>
      </c>
      <c r="B19" s="102" t="s">
        <v>226</v>
      </c>
      <c r="C19" s="101" t="s">
        <v>227</v>
      </c>
      <c r="D19" s="101">
        <v>3</v>
      </c>
      <c r="E19" s="113">
        <v>25.9</v>
      </c>
      <c r="F19" s="113">
        <v>29.9</v>
      </c>
      <c r="G19" s="113">
        <v>22</v>
      </c>
      <c r="H19" s="114">
        <f t="shared" si="0"/>
        <v>22</v>
      </c>
      <c r="I19" s="114">
        <f t="shared" si="1"/>
        <v>66</v>
      </c>
      <c r="J19" s="114">
        <f t="shared" si="2"/>
        <v>5.5</v>
      </c>
    </row>
    <row r="20" spans="1:10" ht="25.5">
      <c r="A20" s="101">
        <v>18</v>
      </c>
      <c r="B20" s="102" t="s">
        <v>228</v>
      </c>
      <c r="C20" s="101" t="s">
        <v>476</v>
      </c>
      <c r="D20" s="101">
        <f>2*12</f>
        <v>24</v>
      </c>
      <c r="E20" s="113">
        <v>15.09</v>
      </c>
      <c r="F20" s="113">
        <v>21.99</v>
      </c>
      <c r="G20" s="113">
        <v>21.49</v>
      </c>
      <c r="H20" s="114">
        <f t="shared" si="0"/>
        <v>15.09</v>
      </c>
      <c r="I20" s="114">
        <f t="shared" si="1"/>
        <v>362.16</v>
      </c>
      <c r="J20" s="114">
        <f t="shared" si="2"/>
        <v>30.18</v>
      </c>
    </row>
    <row r="21" spans="1:10" ht="25.5">
      <c r="A21" s="101">
        <v>19</v>
      </c>
      <c r="B21" s="102" t="s">
        <v>468</v>
      </c>
      <c r="C21" s="101" t="s">
        <v>470</v>
      </c>
      <c r="D21" s="101">
        <v>12</v>
      </c>
      <c r="E21" s="113">
        <v>23.65</v>
      </c>
      <c r="F21" s="113">
        <v>23.9</v>
      </c>
      <c r="G21" s="113">
        <v>24.9</v>
      </c>
      <c r="H21" s="114">
        <f t="shared" si="0"/>
        <v>23.65</v>
      </c>
      <c r="I21" s="114">
        <f t="shared" si="1"/>
        <v>283.8</v>
      </c>
      <c r="J21" s="114">
        <f t="shared" si="2"/>
        <v>23.65</v>
      </c>
    </row>
    <row r="22" spans="1:10">
      <c r="A22" s="101">
        <v>20</v>
      </c>
      <c r="B22" s="102" t="s">
        <v>229</v>
      </c>
      <c r="C22" s="101" t="s">
        <v>230</v>
      </c>
      <c r="D22" s="101">
        <v>6</v>
      </c>
      <c r="E22" s="113">
        <v>75.709999999999994</v>
      </c>
      <c r="F22" s="113">
        <v>93.1</v>
      </c>
      <c r="G22" s="113">
        <v>76.44</v>
      </c>
      <c r="H22" s="114">
        <f t="shared" si="0"/>
        <v>75.709999999999994</v>
      </c>
      <c r="I22" s="114">
        <f t="shared" si="1"/>
        <v>454.26</v>
      </c>
      <c r="J22" s="114">
        <f t="shared" si="2"/>
        <v>37.86</v>
      </c>
    </row>
    <row r="23" spans="1:10" ht="25.5">
      <c r="A23" s="101">
        <v>21</v>
      </c>
      <c r="B23" s="102" t="s">
        <v>231</v>
      </c>
      <c r="C23" s="101" t="s">
        <v>477</v>
      </c>
      <c r="D23" s="101">
        <f>4*12</f>
        <v>48</v>
      </c>
      <c r="E23" s="113">
        <v>29.9</v>
      </c>
      <c r="F23" s="113">
        <v>27.79</v>
      </c>
      <c r="G23" s="113">
        <v>35.9</v>
      </c>
      <c r="H23" s="114">
        <f t="shared" si="0"/>
        <v>27.79</v>
      </c>
      <c r="I23" s="114">
        <f t="shared" si="1"/>
        <v>1333.92</v>
      </c>
      <c r="J23" s="114">
        <f t="shared" si="2"/>
        <v>111.16</v>
      </c>
    </row>
    <row r="24" spans="1:10" ht="25.5">
      <c r="A24" s="101">
        <v>22</v>
      </c>
      <c r="B24" s="102" t="s">
        <v>232</v>
      </c>
      <c r="C24" s="101" t="s">
        <v>478</v>
      </c>
      <c r="D24" s="101">
        <v>2</v>
      </c>
      <c r="E24" s="113">
        <v>3.47</v>
      </c>
      <c r="F24" s="113">
        <v>3.04</v>
      </c>
      <c r="G24" s="113">
        <v>3.1</v>
      </c>
      <c r="H24" s="114">
        <f t="shared" si="0"/>
        <v>3.04</v>
      </c>
      <c r="I24" s="114">
        <f t="shared" si="1"/>
        <v>6.08</v>
      </c>
      <c r="J24" s="114">
        <f t="shared" si="2"/>
        <v>0.51</v>
      </c>
    </row>
    <row r="25" spans="1:10">
      <c r="A25" s="101">
        <v>23</v>
      </c>
      <c r="B25" s="102" t="s">
        <v>233</v>
      </c>
      <c r="C25" s="101" t="s">
        <v>479</v>
      </c>
      <c r="D25" s="101">
        <f>12*12</f>
        <v>144</v>
      </c>
      <c r="E25" s="113">
        <v>39.9</v>
      </c>
      <c r="F25" s="113">
        <v>34.9</v>
      </c>
      <c r="G25" s="113">
        <v>41.61</v>
      </c>
      <c r="H25" s="114">
        <f t="shared" si="0"/>
        <v>34.9</v>
      </c>
      <c r="I25" s="114">
        <f t="shared" si="1"/>
        <v>5025.6000000000004</v>
      </c>
      <c r="J25" s="114">
        <f t="shared" si="2"/>
        <v>418.8</v>
      </c>
    </row>
    <row r="26" spans="1:10" ht="25.5">
      <c r="A26" s="101">
        <v>24</v>
      </c>
      <c r="B26" s="102" t="s">
        <v>234</v>
      </c>
      <c r="C26" s="101" t="s">
        <v>480</v>
      </c>
      <c r="D26" s="101">
        <f>1*12</f>
        <v>12</v>
      </c>
      <c r="E26" s="113">
        <v>47</v>
      </c>
      <c r="F26" s="113">
        <v>61.5</v>
      </c>
      <c r="G26" s="113">
        <v>65.5</v>
      </c>
      <c r="H26" s="114">
        <f t="shared" si="0"/>
        <v>47</v>
      </c>
      <c r="I26" s="114">
        <f t="shared" si="1"/>
        <v>564</v>
      </c>
      <c r="J26" s="114">
        <f t="shared" si="2"/>
        <v>47</v>
      </c>
    </row>
    <row r="27" spans="1:10" ht="25.5">
      <c r="A27" s="101">
        <v>25</v>
      </c>
      <c r="B27" s="102" t="s">
        <v>235</v>
      </c>
      <c r="C27" s="101" t="s">
        <v>474</v>
      </c>
      <c r="D27" s="101">
        <v>6</v>
      </c>
      <c r="E27" s="113">
        <v>64.900000000000006</v>
      </c>
      <c r="F27" s="113">
        <v>66.5</v>
      </c>
      <c r="G27" s="113">
        <v>64.989999999999995</v>
      </c>
      <c r="H27" s="114">
        <f t="shared" si="0"/>
        <v>64.900000000000006</v>
      </c>
      <c r="I27" s="114">
        <f t="shared" si="1"/>
        <v>389.4</v>
      </c>
      <c r="J27" s="114">
        <f t="shared" si="2"/>
        <v>32.450000000000003</v>
      </c>
    </row>
    <row r="28" spans="1:10" ht="25.5">
      <c r="A28" s="101">
        <v>26</v>
      </c>
      <c r="B28" s="103" t="s">
        <v>236</v>
      </c>
      <c r="C28" s="101" t="s">
        <v>204</v>
      </c>
      <c r="D28" s="101">
        <v>7</v>
      </c>
      <c r="E28" s="113">
        <v>27.99</v>
      </c>
      <c r="F28" s="113">
        <v>29.24</v>
      </c>
      <c r="G28" s="113">
        <v>27</v>
      </c>
      <c r="H28" s="114">
        <f t="shared" si="0"/>
        <v>27</v>
      </c>
      <c r="I28" s="114">
        <f t="shared" si="1"/>
        <v>189</v>
      </c>
      <c r="J28" s="114">
        <f t="shared" si="2"/>
        <v>15.75</v>
      </c>
    </row>
    <row r="29" spans="1:10" s="105" customFormat="1" ht="25.5">
      <c r="A29" s="101">
        <v>27</v>
      </c>
      <c r="B29" s="97" t="s">
        <v>237</v>
      </c>
      <c r="C29" s="96" t="s">
        <v>481</v>
      </c>
      <c r="D29" s="96">
        <f>50*12</f>
        <v>600</v>
      </c>
      <c r="E29" s="114">
        <v>3.19</v>
      </c>
      <c r="F29" s="114">
        <v>5.99</v>
      </c>
      <c r="G29" s="114">
        <v>4.1100000000000003</v>
      </c>
      <c r="H29" s="114">
        <f t="shared" si="0"/>
        <v>3.19</v>
      </c>
      <c r="I29" s="114">
        <f t="shared" si="1"/>
        <v>1914</v>
      </c>
      <c r="J29" s="114">
        <f t="shared" si="2"/>
        <v>159.5</v>
      </c>
    </row>
    <row r="30" spans="1:10" ht="25.5">
      <c r="A30" s="101">
        <v>28</v>
      </c>
      <c r="B30" s="102" t="s">
        <v>238</v>
      </c>
      <c r="C30" s="101" t="s">
        <v>225</v>
      </c>
      <c r="D30" s="101">
        <f>50*12</f>
        <v>600</v>
      </c>
      <c r="E30" s="113">
        <v>6.5</v>
      </c>
      <c r="F30" s="113">
        <v>5.52</v>
      </c>
      <c r="G30" s="113">
        <v>5.79</v>
      </c>
      <c r="H30" s="114">
        <f t="shared" si="0"/>
        <v>5.52</v>
      </c>
      <c r="I30" s="114">
        <f t="shared" si="1"/>
        <v>3312</v>
      </c>
      <c r="J30" s="114">
        <f t="shared" si="2"/>
        <v>276</v>
      </c>
    </row>
    <row r="31" spans="1:10" ht="25.5">
      <c r="A31" s="101">
        <v>29</v>
      </c>
      <c r="B31" s="102" t="s">
        <v>239</v>
      </c>
      <c r="C31" s="101" t="s">
        <v>475</v>
      </c>
      <c r="D31" s="101">
        <f>4*12</f>
        <v>48</v>
      </c>
      <c r="E31" s="113">
        <v>36.21</v>
      </c>
      <c r="F31" s="113">
        <v>42.9</v>
      </c>
      <c r="G31" s="113">
        <v>44.9</v>
      </c>
      <c r="H31" s="114">
        <f t="shared" si="0"/>
        <v>36.21</v>
      </c>
      <c r="I31" s="114">
        <f t="shared" si="1"/>
        <v>1738.08</v>
      </c>
      <c r="J31" s="114">
        <f t="shared" si="2"/>
        <v>144.84</v>
      </c>
    </row>
    <row r="32" spans="1:10" ht="25.5">
      <c r="A32" s="101">
        <v>30</v>
      </c>
      <c r="B32" s="103" t="s">
        <v>207</v>
      </c>
      <c r="C32" s="101" t="s">
        <v>475</v>
      </c>
      <c r="D32" s="101">
        <f>4*12</f>
        <v>48</v>
      </c>
      <c r="E32" s="113">
        <v>159.6</v>
      </c>
      <c r="F32" s="113">
        <v>190</v>
      </c>
      <c r="G32" s="113">
        <v>189</v>
      </c>
      <c r="H32" s="114">
        <f t="shared" si="0"/>
        <v>159.6</v>
      </c>
      <c r="I32" s="114">
        <f t="shared" si="1"/>
        <v>7660.8</v>
      </c>
      <c r="J32" s="114">
        <f t="shared" si="2"/>
        <v>638.4</v>
      </c>
    </row>
    <row r="33" spans="1:10" ht="27.75">
      <c r="A33" s="101">
        <v>31</v>
      </c>
      <c r="B33" s="103" t="s">
        <v>240</v>
      </c>
      <c r="C33" s="101" t="s">
        <v>230</v>
      </c>
      <c r="D33" s="101">
        <v>6</v>
      </c>
      <c r="E33" s="113">
        <v>6.99</v>
      </c>
      <c r="F33" s="113">
        <v>6.03</v>
      </c>
      <c r="G33" s="113">
        <v>9.56</v>
      </c>
      <c r="H33" s="114">
        <f t="shared" si="0"/>
        <v>6.03</v>
      </c>
      <c r="I33" s="114">
        <f t="shared" si="1"/>
        <v>36.18</v>
      </c>
      <c r="J33" s="114">
        <f t="shared" si="2"/>
        <v>3.02</v>
      </c>
    </row>
    <row r="34" spans="1:10">
      <c r="A34" s="101">
        <v>32</v>
      </c>
      <c r="B34" s="102" t="s">
        <v>241</v>
      </c>
      <c r="C34" s="101" t="s">
        <v>242</v>
      </c>
      <c r="D34" s="101">
        <v>8</v>
      </c>
      <c r="E34" s="113">
        <v>14.9</v>
      </c>
      <c r="F34" s="113">
        <v>15.9</v>
      </c>
      <c r="G34" s="113">
        <v>17.899999999999999</v>
      </c>
      <c r="H34" s="114">
        <f t="shared" si="0"/>
        <v>14.9</v>
      </c>
      <c r="I34" s="114">
        <f t="shared" si="1"/>
        <v>119.2</v>
      </c>
      <c r="J34" s="114">
        <f t="shared" si="2"/>
        <v>9.93</v>
      </c>
    </row>
    <row r="35" spans="1:10" ht="25.5">
      <c r="A35" s="101">
        <v>33</v>
      </c>
      <c r="B35" s="102" t="s">
        <v>243</v>
      </c>
      <c r="C35" s="101" t="s">
        <v>244</v>
      </c>
      <c r="D35" s="101">
        <f>40*12</f>
        <v>480</v>
      </c>
      <c r="E35" s="113">
        <v>2.02</v>
      </c>
      <c r="F35" s="113">
        <v>3.11</v>
      </c>
      <c r="G35" s="113">
        <v>7.79</v>
      </c>
      <c r="H35" s="114">
        <f t="shared" ref="H35:H59" si="3">SMALL(E35:G35,1)</f>
        <v>2.02</v>
      </c>
      <c r="I35" s="114">
        <f t="shared" ref="I35:I59" si="4">D35*H35</f>
        <v>969.6</v>
      </c>
      <c r="J35" s="114">
        <f t="shared" ref="J35:J59" si="5">I35/12</f>
        <v>80.8</v>
      </c>
    </row>
    <row r="36" spans="1:10" ht="25.5">
      <c r="A36" s="101">
        <v>34</v>
      </c>
      <c r="B36" s="102" t="s">
        <v>245</v>
      </c>
      <c r="C36" s="101" t="s">
        <v>482</v>
      </c>
      <c r="D36" s="101">
        <f>7*12</f>
        <v>84</v>
      </c>
      <c r="E36" s="113">
        <v>18.899999999999999</v>
      </c>
      <c r="F36" s="113">
        <v>23.3</v>
      </c>
      <c r="G36" s="113">
        <v>15.89</v>
      </c>
      <c r="H36" s="114">
        <f t="shared" si="3"/>
        <v>15.89</v>
      </c>
      <c r="I36" s="114">
        <f t="shared" si="4"/>
        <v>1334.76</v>
      </c>
      <c r="J36" s="114">
        <f t="shared" si="5"/>
        <v>111.23</v>
      </c>
    </row>
    <row r="37" spans="1:10" ht="25.5">
      <c r="A37" s="101">
        <v>35</v>
      </c>
      <c r="B37" s="102" t="s">
        <v>246</v>
      </c>
      <c r="C37" s="101" t="s">
        <v>483</v>
      </c>
      <c r="D37" s="101">
        <f>20*12</f>
        <v>240</v>
      </c>
      <c r="E37" s="113">
        <v>54.38</v>
      </c>
      <c r="F37" s="113">
        <v>38.19</v>
      </c>
      <c r="G37" s="113">
        <v>66.5</v>
      </c>
      <c r="H37" s="114">
        <f t="shared" si="3"/>
        <v>38.19</v>
      </c>
      <c r="I37" s="114">
        <f t="shared" si="4"/>
        <v>9165.6</v>
      </c>
      <c r="J37" s="114">
        <f t="shared" si="5"/>
        <v>763.8</v>
      </c>
    </row>
    <row r="38" spans="1:10" ht="38.25">
      <c r="A38" s="101">
        <v>36</v>
      </c>
      <c r="B38" s="103" t="s">
        <v>247</v>
      </c>
      <c r="C38" s="101" t="s">
        <v>472</v>
      </c>
      <c r="D38" s="101">
        <f>210*12</f>
        <v>2520</v>
      </c>
      <c r="E38" s="113">
        <v>18.399999999999999</v>
      </c>
      <c r="F38" s="113">
        <v>15</v>
      </c>
      <c r="G38" s="113">
        <v>20.99</v>
      </c>
      <c r="H38" s="114">
        <f t="shared" si="3"/>
        <v>15</v>
      </c>
      <c r="I38" s="114">
        <f t="shared" si="4"/>
        <v>37800</v>
      </c>
      <c r="J38" s="114">
        <f t="shared" si="5"/>
        <v>3150</v>
      </c>
    </row>
    <row r="39" spans="1:10" ht="25.5">
      <c r="A39" s="101">
        <v>37</v>
      </c>
      <c r="B39" s="102" t="s">
        <v>248</v>
      </c>
      <c r="C39" s="101" t="s">
        <v>249</v>
      </c>
      <c r="D39" s="101">
        <v>24</v>
      </c>
      <c r="E39" s="113">
        <v>7.9</v>
      </c>
      <c r="F39" s="113">
        <v>7.9</v>
      </c>
      <c r="G39" s="113">
        <v>5.91</v>
      </c>
      <c r="H39" s="114">
        <f t="shared" si="3"/>
        <v>5.91</v>
      </c>
      <c r="I39" s="114">
        <f t="shared" si="4"/>
        <v>141.84</v>
      </c>
      <c r="J39" s="114">
        <f t="shared" si="5"/>
        <v>11.82</v>
      </c>
    </row>
    <row r="40" spans="1:10" ht="25.5">
      <c r="A40" s="101">
        <v>38</v>
      </c>
      <c r="B40" s="102" t="s">
        <v>251</v>
      </c>
      <c r="C40" s="101" t="s">
        <v>252</v>
      </c>
      <c r="D40" s="101">
        <f>5*12</f>
        <v>60</v>
      </c>
      <c r="E40" s="113">
        <v>8.34</v>
      </c>
      <c r="F40" s="113">
        <v>9.4</v>
      </c>
      <c r="G40" s="113">
        <v>10.95</v>
      </c>
      <c r="H40" s="114">
        <f t="shared" si="3"/>
        <v>8.34</v>
      </c>
      <c r="I40" s="114">
        <f t="shared" si="4"/>
        <v>500.4</v>
      </c>
      <c r="J40" s="114">
        <f t="shared" si="5"/>
        <v>41.7</v>
      </c>
    </row>
    <row r="41" spans="1:10">
      <c r="A41" s="101">
        <v>39</v>
      </c>
      <c r="B41" s="102" t="s">
        <v>255</v>
      </c>
      <c r="C41" s="101" t="s">
        <v>252</v>
      </c>
      <c r="D41" s="101">
        <f>5*12</f>
        <v>60</v>
      </c>
      <c r="E41" s="113">
        <v>32.799999999999997</v>
      </c>
      <c r="F41" s="113">
        <v>25.9</v>
      </c>
      <c r="G41" s="113">
        <v>79.900000000000006</v>
      </c>
      <c r="H41" s="114">
        <f t="shared" si="3"/>
        <v>25.9</v>
      </c>
      <c r="I41" s="114">
        <f t="shared" si="4"/>
        <v>1554</v>
      </c>
      <c r="J41" s="114">
        <f t="shared" si="5"/>
        <v>129.5</v>
      </c>
    </row>
    <row r="42" spans="1:10">
      <c r="A42" s="101">
        <v>40</v>
      </c>
      <c r="B42" s="102" t="s">
        <v>253</v>
      </c>
      <c r="C42" s="101" t="s">
        <v>254</v>
      </c>
      <c r="D42" s="101">
        <v>4</v>
      </c>
      <c r="E42" s="113">
        <v>39.9</v>
      </c>
      <c r="F42" s="113">
        <v>19.690000000000001</v>
      </c>
      <c r="G42" s="113">
        <v>26.43</v>
      </c>
      <c r="H42" s="114">
        <f t="shared" si="3"/>
        <v>19.690000000000001</v>
      </c>
      <c r="I42" s="114">
        <f t="shared" si="4"/>
        <v>78.760000000000005</v>
      </c>
      <c r="J42" s="114">
        <f t="shared" si="5"/>
        <v>6.56</v>
      </c>
    </row>
    <row r="43" spans="1:10">
      <c r="A43" s="101">
        <v>41</v>
      </c>
      <c r="B43" s="102" t="s">
        <v>256</v>
      </c>
      <c r="C43" s="101" t="s">
        <v>257</v>
      </c>
      <c r="D43" s="101">
        <f>7*12</f>
        <v>84</v>
      </c>
      <c r="E43" s="113">
        <v>49.9</v>
      </c>
      <c r="F43" s="113">
        <v>26.49</v>
      </c>
      <c r="G43" s="113">
        <v>23.18</v>
      </c>
      <c r="H43" s="114">
        <f t="shared" si="3"/>
        <v>23.18</v>
      </c>
      <c r="I43" s="114">
        <f t="shared" si="4"/>
        <v>1947.12</v>
      </c>
      <c r="J43" s="114">
        <f t="shared" si="5"/>
        <v>162.26</v>
      </c>
    </row>
    <row r="44" spans="1:10" ht="38.25">
      <c r="A44" s="101">
        <v>42</v>
      </c>
      <c r="B44" s="102" t="s">
        <v>258</v>
      </c>
      <c r="C44" s="101" t="s">
        <v>223</v>
      </c>
      <c r="D44" s="101">
        <v>12</v>
      </c>
      <c r="E44" s="113">
        <v>57.15</v>
      </c>
      <c r="F44" s="113">
        <v>65</v>
      </c>
      <c r="G44" s="113">
        <v>65.08</v>
      </c>
      <c r="H44" s="114">
        <f t="shared" si="3"/>
        <v>57.15</v>
      </c>
      <c r="I44" s="114">
        <f t="shared" si="4"/>
        <v>685.8</v>
      </c>
      <c r="J44" s="114">
        <f t="shared" si="5"/>
        <v>57.15</v>
      </c>
    </row>
    <row r="45" spans="1:10" ht="25.5">
      <c r="A45" s="101">
        <v>43</v>
      </c>
      <c r="B45" s="102" t="s">
        <v>259</v>
      </c>
      <c r="C45" s="101" t="s">
        <v>484</v>
      </c>
      <c r="D45" s="101">
        <f>6*12</f>
        <v>72</v>
      </c>
      <c r="E45" s="113">
        <v>12.99</v>
      </c>
      <c r="F45" s="113">
        <v>12.99</v>
      </c>
      <c r="G45" s="113">
        <v>17.899999999999999</v>
      </c>
      <c r="H45" s="114">
        <f t="shared" si="3"/>
        <v>12.99</v>
      </c>
      <c r="I45" s="114">
        <f t="shared" si="4"/>
        <v>935.28</v>
      </c>
      <c r="J45" s="114">
        <f t="shared" si="5"/>
        <v>77.94</v>
      </c>
    </row>
    <row r="46" spans="1:10">
      <c r="A46" s="101">
        <v>44</v>
      </c>
      <c r="B46" s="102" t="s">
        <v>260</v>
      </c>
      <c r="C46" s="101" t="s">
        <v>485</v>
      </c>
      <c r="D46" s="101">
        <f>5*12</f>
        <v>60</v>
      </c>
      <c r="E46" s="113">
        <v>5</v>
      </c>
      <c r="F46" s="113">
        <v>6.15</v>
      </c>
      <c r="G46" s="113">
        <v>5.5</v>
      </c>
      <c r="H46" s="114">
        <f t="shared" si="3"/>
        <v>5</v>
      </c>
      <c r="I46" s="114">
        <f t="shared" si="4"/>
        <v>300</v>
      </c>
      <c r="J46" s="114">
        <f t="shared" si="5"/>
        <v>25</v>
      </c>
    </row>
    <row r="47" spans="1:10" ht="38.25">
      <c r="A47" s="101">
        <v>45</v>
      </c>
      <c r="B47" s="102" t="s">
        <v>261</v>
      </c>
      <c r="C47" s="101" t="s">
        <v>486</v>
      </c>
      <c r="D47" s="101">
        <f>6*12</f>
        <v>72</v>
      </c>
      <c r="E47" s="113">
        <v>25.9</v>
      </c>
      <c r="F47" s="113">
        <v>25.68</v>
      </c>
      <c r="G47" s="113">
        <v>22.49</v>
      </c>
      <c r="H47" s="114">
        <f t="shared" si="3"/>
        <v>22.49</v>
      </c>
      <c r="I47" s="114">
        <f t="shared" si="4"/>
        <v>1619.28</v>
      </c>
      <c r="J47" s="114">
        <f t="shared" si="5"/>
        <v>134.94</v>
      </c>
    </row>
    <row r="48" spans="1:10" ht="25.5">
      <c r="A48" s="101">
        <v>46</v>
      </c>
      <c r="B48" s="102" t="s">
        <v>264</v>
      </c>
      <c r="C48" s="101" t="s">
        <v>487</v>
      </c>
      <c r="D48" s="101">
        <f>4*12</f>
        <v>48</v>
      </c>
      <c r="E48" s="113">
        <v>35.69</v>
      </c>
      <c r="F48" s="113">
        <v>33.130000000000003</v>
      </c>
      <c r="G48" s="113">
        <v>23</v>
      </c>
      <c r="H48" s="114">
        <f t="shared" si="3"/>
        <v>23</v>
      </c>
      <c r="I48" s="114">
        <f t="shared" si="4"/>
        <v>1104</v>
      </c>
      <c r="J48" s="114">
        <f t="shared" si="5"/>
        <v>92</v>
      </c>
    </row>
    <row r="49" spans="1:10" ht="25.5">
      <c r="A49" s="101">
        <v>47</v>
      </c>
      <c r="B49" s="102" t="s">
        <v>266</v>
      </c>
      <c r="C49" s="101" t="s">
        <v>488</v>
      </c>
      <c r="D49" s="101">
        <f>1*12</f>
        <v>12</v>
      </c>
      <c r="E49" s="113">
        <v>34</v>
      </c>
      <c r="F49" s="113">
        <v>44.97</v>
      </c>
      <c r="G49" s="113">
        <v>52</v>
      </c>
      <c r="H49" s="114">
        <f t="shared" si="3"/>
        <v>34</v>
      </c>
      <c r="I49" s="114">
        <f t="shared" si="4"/>
        <v>408</v>
      </c>
      <c r="J49" s="114">
        <f t="shared" si="5"/>
        <v>34</v>
      </c>
    </row>
    <row r="50" spans="1:10" ht="25.5">
      <c r="A50" s="101">
        <v>48</v>
      </c>
      <c r="B50" s="102" t="s">
        <v>263</v>
      </c>
      <c r="C50" s="101" t="s">
        <v>489</v>
      </c>
      <c r="D50" s="101">
        <f>3*12</f>
        <v>36</v>
      </c>
      <c r="E50" s="113">
        <v>45.15</v>
      </c>
      <c r="F50" s="113">
        <v>33.130000000000003</v>
      </c>
      <c r="G50" s="113">
        <v>21.3</v>
      </c>
      <c r="H50" s="114">
        <f t="shared" si="3"/>
        <v>21.3</v>
      </c>
      <c r="I50" s="114">
        <f t="shared" si="4"/>
        <v>766.8</v>
      </c>
      <c r="J50" s="114">
        <f t="shared" si="5"/>
        <v>63.9</v>
      </c>
    </row>
    <row r="51" spans="1:10" ht="25.5">
      <c r="A51" s="101">
        <v>49</v>
      </c>
      <c r="B51" s="102" t="s">
        <v>267</v>
      </c>
      <c r="C51" s="101" t="s">
        <v>490</v>
      </c>
      <c r="D51" s="101">
        <f>2*12</f>
        <v>24</v>
      </c>
      <c r="E51" s="113">
        <v>39.9</v>
      </c>
      <c r="F51" s="113">
        <v>44.97</v>
      </c>
      <c r="G51" s="113">
        <v>42.48</v>
      </c>
      <c r="H51" s="114">
        <f t="shared" si="3"/>
        <v>39.9</v>
      </c>
      <c r="I51" s="114">
        <f t="shared" si="4"/>
        <v>957.6</v>
      </c>
      <c r="J51" s="114">
        <f t="shared" si="5"/>
        <v>79.8</v>
      </c>
    </row>
    <row r="52" spans="1:10" ht="25.5">
      <c r="A52" s="101">
        <v>50</v>
      </c>
      <c r="B52" s="102" t="s">
        <v>265</v>
      </c>
      <c r="C52" s="101" t="s">
        <v>488</v>
      </c>
      <c r="D52" s="101">
        <f>1*12</f>
        <v>12</v>
      </c>
      <c r="E52" s="113">
        <v>33.69</v>
      </c>
      <c r="F52" s="113">
        <v>29.9</v>
      </c>
      <c r="G52" s="113">
        <v>24.3</v>
      </c>
      <c r="H52" s="114">
        <f t="shared" si="3"/>
        <v>24.3</v>
      </c>
      <c r="I52" s="114">
        <f t="shared" si="4"/>
        <v>291.60000000000002</v>
      </c>
      <c r="J52" s="114">
        <f t="shared" si="5"/>
        <v>24.3</v>
      </c>
    </row>
    <row r="53" spans="1:10" ht="25.5">
      <c r="A53" s="101">
        <v>51</v>
      </c>
      <c r="B53" s="102" t="s">
        <v>269</v>
      </c>
      <c r="C53" s="101" t="s">
        <v>489</v>
      </c>
      <c r="D53" s="101">
        <f>3*12</f>
        <v>36</v>
      </c>
      <c r="E53" s="113">
        <v>109.3</v>
      </c>
      <c r="F53" s="113">
        <v>103.95</v>
      </c>
      <c r="G53" s="113">
        <v>93.5</v>
      </c>
      <c r="H53" s="114">
        <f t="shared" si="3"/>
        <v>93.5</v>
      </c>
      <c r="I53" s="114">
        <f t="shared" si="4"/>
        <v>3366</v>
      </c>
      <c r="J53" s="114">
        <f t="shared" si="5"/>
        <v>280.5</v>
      </c>
    </row>
    <row r="54" spans="1:10" ht="25.5">
      <c r="A54" s="101">
        <v>52</v>
      </c>
      <c r="B54" s="102" t="s">
        <v>268</v>
      </c>
      <c r="C54" s="101" t="s">
        <v>489</v>
      </c>
      <c r="D54" s="101">
        <f>3*12</f>
        <v>36</v>
      </c>
      <c r="E54" s="113">
        <v>61.9</v>
      </c>
      <c r="F54" s="113">
        <v>64.89</v>
      </c>
      <c r="G54" s="113">
        <v>57.3</v>
      </c>
      <c r="H54" s="114">
        <f t="shared" si="3"/>
        <v>57.3</v>
      </c>
      <c r="I54" s="114">
        <f t="shared" si="4"/>
        <v>2062.8000000000002</v>
      </c>
      <c r="J54" s="114">
        <f t="shared" si="5"/>
        <v>171.9</v>
      </c>
    </row>
    <row r="55" spans="1:10" ht="25.5">
      <c r="A55" s="101">
        <v>53</v>
      </c>
      <c r="B55" s="102" t="s">
        <v>262</v>
      </c>
      <c r="C55" s="101" t="s">
        <v>488</v>
      </c>
      <c r="D55" s="101">
        <f>1*12</f>
        <v>12</v>
      </c>
      <c r="E55" s="113">
        <v>23</v>
      </c>
      <c r="F55" s="113">
        <v>14.16</v>
      </c>
      <c r="G55" s="113">
        <v>27.4</v>
      </c>
      <c r="H55" s="114">
        <f t="shared" si="3"/>
        <v>14.16</v>
      </c>
      <c r="I55" s="114">
        <f t="shared" si="4"/>
        <v>169.92</v>
      </c>
      <c r="J55" s="114">
        <f t="shared" si="5"/>
        <v>14.16</v>
      </c>
    </row>
    <row r="56" spans="1:10" ht="25.5">
      <c r="A56" s="101">
        <v>54</v>
      </c>
      <c r="B56" s="102" t="s">
        <v>270</v>
      </c>
      <c r="C56" s="101" t="s">
        <v>491</v>
      </c>
      <c r="D56" s="101">
        <f>5*12</f>
        <v>60</v>
      </c>
      <c r="E56" s="113">
        <v>67.37</v>
      </c>
      <c r="F56" s="113">
        <v>41.99</v>
      </c>
      <c r="G56" s="113">
        <v>52</v>
      </c>
      <c r="H56" s="114">
        <f t="shared" si="3"/>
        <v>41.99</v>
      </c>
      <c r="I56" s="114">
        <f t="shared" si="4"/>
        <v>2519.4</v>
      </c>
      <c r="J56" s="114">
        <f t="shared" si="5"/>
        <v>209.95</v>
      </c>
    </row>
    <row r="57" spans="1:10" ht="25.5">
      <c r="A57" s="101">
        <v>55</v>
      </c>
      <c r="B57" s="102" t="s">
        <v>271</v>
      </c>
      <c r="C57" s="101" t="s">
        <v>272</v>
      </c>
      <c r="D57" s="101">
        <f>24*12</f>
        <v>288</v>
      </c>
      <c r="E57" s="113">
        <v>4.47</v>
      </c>
      <c r="F57" s="113">
        <v>6.6</v>
      </c>
      <c r="G57" s="113">
        <v>3.87</v>
      </c>
      <c r="H57" s="114">
        <f t="shared" si="3"/>
        <v>3.87</v>
      </c>
      <c r="I57" s="114">
        <f t="shared" si="4"/>
        <v>1114.56</v>
      </c>
      <c r="J57" s="114">
        <f t="shared" si="5"/>
        <v>92.88</v>
      </c>
    </row>
    <row r="58" spans="1:10" ht="25.5">
      <c r="A58" s="101">
        <v>56</v>
      </c>
      <c r="B58" s="102" t="s">
        <v>273</v>
      </c>
      <c r="C58" s="101" t="s">
        <v>220</v>
      </c>
      <c r="D58" s="101">
        <f>2*12</f>
        <v>24</v>
      </c>
      <c r="E58" s="115">
        <v>15.5</v>
      </c>
      <c r="F58" s="115">
        <v>14.9</v>
      </c>
      <c r="G58" s="115">
        <v>20.76</v>
      </c>
      <c r="H58" s="114">
        <f t="shared" si="3"/>
        <v>14.9</v>
      </c>
      <c r="I58" s="114">
        <f t="shared" si="4"/>
        <v>357.6</v>
      </c>
      <c r="J58" s="114">
        <f t="shared" si="5"/>
        <v>29.8</v>
      </c>
    </row>
    <row r="59" spans="1:10">
      <c r="A59" s="101">
        <v>57</v>
      </c>
      <c r="B59" s="102" t="s">
        <v>286</v>
      </c>
      <c r="C59" s="101" t="s">
        <v>254</v>
      </c>
      <c r="D59" s="101">
        <v>4</v>
      </c>
      <c r="E59" s="115">
        <v>13.73</v>
      </c>
      <c r="F59" s="115">
        <v>15.57</v>
      </c>
      <c r="G59" s="115">
        <v>11.59</v>
      </c>
      <c r="H59" s="114">
        <f t="shared" si="3"/>
        <v>11.59</v>
      </c>
      <c r="I59" s="114">
        <f t="shared" si="4"/>
        <v>46.36</v>
      </c>
      <c r="J59" s="114">
        <f t="shared" si="5"/>
        <v>3.86</v>
      </c>
    </row>
    <row r="60" spans="1:10">
      <c r="A60" s="101">
        <v>58</v>
      </c>
      <c r="B60" s="102" t="s">
        <v>284</v>
      </c>
      <c r="C60" s="101" t="s">
        <v>285</v>
      </c>
      <c r="D60" s="101">
        <f>14*12</f>
        <v>168</v>
      </c>
      <c r="E60" s="115">
        <v>5.36</v>
      </c>
      <c r="F60" s="115">
        <v>8.2100000000000009</v>
      </c>
      <c r="G60" s="115">
        <v>5.62</v>
      </c>
      <c r="H60" s="114">
        <f t="shared" ref="H60:H65" si="6">SMALL(E60:G60,1)</f>
        <v>5.36</v>
      </c>
      <c r="I60" s="114">
        <f t="shared" ref="I60:I65" si="7">D60*H60</f>
        <v>900.48</v>
      </c>
      <c r="J60" s="114">
        <f t="shared" ref="J60:J65" si="8">I60/12</f>
        <v>75.040000000000006</v>
      </c>
    </row>
    <row r="61" spans="1:10">
      <c r="A61" s="101">
        <v>59</v>
      </c>
      <c r="B61" s="102" t="s">
        <v>278</v>
      </c>
      <c r="C61" s="101" t="s">
        <v>275</v>
      </c>
      <c r="D61" s="101">
        <v>16</v>
      </c>
      <c r="E61" s="115">
        <v>34</v>
      </c>
      <c r="F61" s="115">
        <v>32.840000000000003</v>
      </c>
      <c r="G61" s="115">
        <v>15.18</v>
      </c>
      <c r="H61" s="114">
        <f t="shared" si="6"/>
        <v>15.18</v>
      </c>
      <c r="I61" s="114">
        <f t="shared" si="7"/>
        <v>242.88</v>
      </c>
      <c r="J61" s="114">
        <f t="shared" si="8"/>
        <v>20.239999999999998</v>
      </c>
    </row>
    <row r="62" spans="1:10">
      <c r="A62" s="101">
        <v>60</v>
      </c>
      <c r="B62" s="102" t="s">
        <v>279</v>
      </c>
      <c r="C62" s="101" t="s">
        <v>275</v>
      </c>
      <c r="D62" s="101">
        <v>16</v>
      </c>
      <c r="E62" s="115">
        <v>29.2</v>
      </c>
      <c r="F62" s="115">
        <v>26.9</v>
      </c>
      <c r="G62" s="115">
        <v>21.99</v>
      </c>
      <c r="H62" s="114">
        <f t="shared" si="6"/>
        <v>21.99</v>
      </c>
      <c r="I62" s="114">
        <f t="shared" si="7"/>
        <v>351.84</v>
      </c>
      <c r="J62" s="114">
        <f t="shared" si="8"/>
        <v>29.32</v>
      </c>
    </row>
    <row r="63" spans="1:10">
      <c r="A63" s="101">
        <v>61</v>
      </c>
      <c r="B63" s="102" t="s">
        <v>283</v>
      </c>
      <c r="C63" s="101" t="s">
        <v>254</v>
      </c>
      <c r="D63" s="101">
        <v>4</v>
      </c>
      <c r="E63" s="115">
        <v>38.75</v>
      </c>
      <c r="F63" s="115">
        <v>27.8</v>
      </c>
      <c r="G63" s="115">
        <v>24.8</v>
      </c>
      <c r="H63" s="114">
        <f t="shared" si="6"/>
        <v>24.8</v>
      </c>
      <c r="I63" s="114">
        <f t="shared" si="7"/>
        <v>99.2</v>
      </c>
      <c r="J63" s="114">
        <f t="shared" si="8"/>
        <v>8.27</v>
      </c>
    </row>
    <row r="64" spans="1:10" ht="38.25">
      <c r="A64" s="101">
        <v>62</v>
      </c>
      <c r="B64" s="102" t="s">
        <v>282</v>
      </c>
      <c r="C64" s="101" t="s">
        <v>257</v>
      </c>
      <c r="D64" s="101">
        <f>7*12</f>
        <v>84</v>
      </c>
      <c r="E64" s="115">
        <v>25.9</v>
      </c>
      <c r="F64" s="115">
        <v>24.9</v>
      </c>
      <c r="G64" s="115">
        <v>27.27</v>
      </c>
      <c r="H64" s="114">
        <f t="shared" si="6"/>
        <v>24.9</v>
      </c>
      <c r="I64" s="114">
        <f t="shared" si="7"/>
        <v>2091.6</v>
      </c>
      <c r="J64" s="114">
        <f t="shared" si="8"/>
        <v>174.3</v>
      </c>
    </row>
    <row r="65" spans="1:10">
      <c r="A65" s="101">
        <v>63</v>
      </c>
      <c r="B65" s="102" t="s">
        <v>280</v>
      </c>
      <c r="C65" s="101" t="s">
        <v>281</v>
      </c>
      <c r="D65" s="101">
        <v>2</v>
      </c>
      <c r="E65" s="115">
        <v>75.05</v>
      </c>
      <c r="F65" s="115">
        <v>66.41</v>
      </c>
      <c r="G65" s="115">
        <v>66.34</v>
      </c>
      <c r="H65" s="114">
        <f t="shared" si="6"/>
        <v>66.34</v>
      </c>
      <c r="I65" s="114">
        <f t="shared" si="7"/>
        <v>132.68</v>
      </c>
      <c r="J65" s="114">
        <f t="shared" si="8"/>
        <v>11.06</v>
      </c>
    </row>
    <row r="66" spans="1:10" ht="15">
      <c r="A66" s="146" t="s">
        <v>194</v>
      </c>
      <c r="B66" s="146"/>
      <c r="C66" s="146"/>
      <c r="D66" s="146"/>
      <c r="E66" s="146"/>
      <c r="F66" s="146"/>
      <c r="G66" s="146"/>
      <c r="H66" s="146"/>
      <c r="I66" s="146"/>
      <c r="J66" s="117">
        <f>SUM(J3:J65)</f>
        <v>10892.3</v>
      </c>
    </row>
    <row r="67" spans="1:10" ht="15">
      <c r="A67" s="146" t="s">
        <v>311</v>
      </c>
      <c r="B67" s="146"/>
      <c r="C67" s="146"/>
      <c r="D67" s="146"/>
      <c r="E67" s="146"/>
      <c r="F67" s="146"/>
      <c r="G67" s="146"/>
      <c r="H67" s="146"/>
      <c r="I67" s="146"/>
      <c r="J67" s="117">
        <f>J66/'Quantidade colaboradores'!C9</f>
        <v>894.57</v>
      </c>
    </row>
  </sheetData>
  <mergeCells count="3">
    <mergeCell ref="A66:I66"/>
    <mergeCell ref="A67:I67"/>
    <mergeCell ref="A1:J1"/>
  </mergeCells>
  <pageMargins left="0.511811024" right="0.511811024" top="0.78740157499999996" bottom="0.78740157499999996" header="0.31496062000000002" footer="0.31496062000000002"/>
  <pageSetup paperSize="9"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27"/>
  <sheetViews>
    <sheetView showGridLines="0" workbookViewId="0">
      <selection sqref="A1:J1"/>
    </sheetView>
  </sheetViews>
  <sheetFormatPr defaultRowHeight="15"/>
  <cols>
    <col min="1" max="1" width="9.140625" style="106"/>
    <col min="2" max="2" width="64.140625" style="106" customWidth="1"/>
    <col min="3" max="3" width="16.7109375" style="106" customWidth="1"/>
    <col min="4" max="4" width="19" style="106" customWidth="1"/>
    <col min="5" max="7" width="12.42578125" style="106" bestFit="1" customWidth="1"/>
    <col min="8" max="10" width="18.28515625" style="106" customWidth="1"/>
    <col min="11" max="16384" width="9.140625" style="106"/>
  </cols>
  <sheetData>
    <row r="1" spans="1:10" ht="18.75">
      <c r="A1" s="147" t="s">
        <v>189</v>
      </c>
      <c r="B1" s="147"/>
      <c r="C1" s="147"/>
      <c r="D1" s="147"/>
      <c r="E1" s="147"/>
      <c r="F1" s="147"/>
      <c r="G1" s="147"/>
      <c r="H1" s="147"/>
      <c r="I1" s="147"/>
      <c r="J1" s="147"/>
    </row>
    <row r="2" spans="1:10" s="94" customFormat="1" ht="30">
      <c r="A2" s="104" t="s">
        <v>174</v>
      </c>
      <c r="B2" s="104" t="s">
        <v>175</v>
      </c>
      <c r="C2" s="104" t="s">
        <v>493</v>
      </c>
      <c r="D2" s="104" t="s">
        <v>177</v>
      </c>
      <c r="E2" s="104" t="s">
        <v>178</v>
      </c>
      <c r="F2" s="104" t="s">
        <v>179</v>
      </c>
      <c r="G2" s="104" t="s">
        <v>180</v>
      </c>
      <c r="H2" s="104" t="s">
        <v>181</v>
      </c>
      <c r="I2" s="104" t="s">
        <v>182</v>
      </c>
      <c r="J2" s="104" t="s">
        <v>183</v>
      </c>
    </row>
    <row r="3" spans="1:10" ht="38.25">
      <c r="A3" s="101">
        <v>1</v>
      </c>
      <c r="B3" s="102" t="s">
        <v>497</v>
      </c>
      <c r="C3" s="96" t="s">
        <v>287</v>
      </c>
      <c r="D3" s="96">
        <v>2</v>
      </c>
      <c r="E3" s="116">
        <v>13.96</v>
      </c>
      <c r="F3" s="116">
        <v>9.09</v>
      </c>
      <c r="G3" s="116">
        <v>18</v>
      </c>
      <c r="H3" s="114">
        <f t="shared" ref="H3:H21" si="0">SMALL(E3:G3,1)</f>
        <v>9.09</v>
      </c>
      <c r="I3" s="114">
        <f t="shared" ref="I3:I21" si="1">D3*H3</f>
        <v>18.18</v>
      </c>
      <c r="J3" s="114">
        <f t="shared" ref="J3:J21" si="2">I3/12</f>
        <v>1.52</v>
      </c>
    </row>
    <row r="4" spans="1:10" ht="25.5">
      <c r="A4" s="101">
        <v>2</v>
      </c>
      <c r="B4" s="102" t="s">
        <v>498</v>
      </c>
      <c r="C4" s="96" t="s">
        <v>287</v>
      </c>
      <c r="D4" s="96">
        <f>ROUNDUP('Quantidade colaboradores'!$C$9,0)</f>
        <v>13</v>
      </c>
      <c r="E4" s="116">
        <v>7.5</v>
      </c>
      <c r="F4" s="116">
        <v>8.31</v>
      </c>
      <c r="G4" s="116">
        <v>11.67</v>
      </c>
      <c r="H4" s="114">
        <f t="shared" si="0"/>
        <v>7.5</v>
      </c>
      <c r="I4" s="114">
        <f t="shared" si="1"/>
        <v>97.5</v>
      </c>
      <c r="J4" s="114">
        <f t="shared" si="2"/>
        <v>8.1300000000000008</v>
      </c>
    </row>
    <row r="5" spans="1:10" ht="25.5">
      <c r="A5" s="101">
        <v>3</v>
      </c>
      <c r="B5" s="102" t="s">
        <v>499</v>
      </c>
      <c r="C5" s="96" t="s">
        <v>504</v>
      </c>
      <c r="D5" s="96">
        <f>ROUNDUP('Quantidade colaboradores'!$C$9,0)</f>
        <v>13</v>
      </c>
      <c r="E5" s="116">
        <v>45.59</v>
      </c>
      <c r="F5" s="116">
        <v>48.59</v>
      </c>
      <c r="G5" s="116">
        <v>40</v>
      </c>
      <c r="H5" s="114">
        <f t="shared" si="0"/>
        <v>40</v>
      </c>
      <c r="I5" s="114">
        <f t="shared" si="1"/>
        <v>520</v>
      </c>
      <c r="J5" s="114">
        <f t="shared" si="2"/>
        <v>43.33</v>
      </c>
    </row>
    <row r="6" spans="1:10" ht="25.5">
      <c r="A6" s="101">
        <v>4</v>
      </c>
      <c r="B6" s="102" t="s">
        <v>500</v>
      </c>
      <c r="C6" s="96" t="s">
        <v>287</v>
      </c>
      <c r="D6" s="96">
        <f>ROUNDUP('Quantidade colaboradores'!$C$9,0)</f>
        <v>13</v>
      </c>
      <c r="E6" s="116">
        <v>20.9</v>
      </c>
      <c r="F6" s="116">
        <v>20.98</v>
      </c>
      <c r="G6" s="116">
        <v>24.9</v>
      </c>
      <c r="H6" s="114">
        <f t="shared" si="0"/>
        <v>20.9</v>
      </c>
      <c r="I6" s="114">
        <f t="shared" si="1"/>
        <v>271.7</v>
      </c>
      <c r="J6" s="114">
        <f t="shared" si="2"/>
        <v>22.64</v>
      </c>
    </row>
    <row r="7" spans="1:10" ht="25.5">
      <c r="A7" s="101">
        <v>5</v>
      </c>
      <c r="B7" s="102" t="s">
        <v>501</v>
      </c>
      <c r="C7" s="96" t="s">
        <v>504</v>
      </c>
      <c r="D7" s="96">
        <f>ROUNDUP('Quantidade colaboradores'!$C$9,0)</f>
        <v>13</v>
      </c>
      <c r="E7" s="116">
        <v>14.9</v>
      </c>
      <c r="F7" s="116">
        <v>13.47</v>
      </c>
      <c r="G7" s="116">
        <v>22.07</v>
      </c>
      <c r="H7" s="114">
        <f t="shared" si="0"/>
        <v>13.47</v>
      </c>
      <c r="I7" s="114">
        <f t="shared" si="1"/>
        <v>175.11</v>
      </c>
      <c r="J7" s="114">
        <f t="shared" si="2"/>
        <v>14.59</v>
      </c>
    </row>
    <row r="8" spans="1:10" ht="38.25">
      <c r="A8" s="101">
        <v>6</v>
      </c>
      <c r="B8" s="102" t="s">
        <v>502</v>
      </c>
      <c r="C8" s="96" t="s">
        <v>287</v>
      </c>
      <c r="D8" s="96">
        <f>ROUNDUP('Quantidade colaboradores'!$C$9,0)</f>
        <v>13</v>
      </c>
      <c r="E8" s="116">
        <v>11.1</v>
      </c>
      <c r="F8" s="116">
        <v>5.5</v>
      </c>
      <c r="G8" s="116">
        <v>10.83</v>
      </c>
      <c r="H8" s="114">
        <f t="shared" si="0"/>
        <v>5.5</v>
      </c>
      <c r="I8" s="114">
        <f t="shared" si="1"/>
        <v>71.5</v>
      </c>
      <c r="J8" s="114">
        <f t="shared" si="2"/>
        <v>5.96</v>
      </c>
    </row>
    <row r="9" spans="1:10" ht="38.25">
      <c r="A9" s="101">
        <v>7</v>
      </c>
      <c r="B9" s="103" t="s">
        <v>503</v>
      </c>
      <c r="C9" s="96" t="s">
        <v>287</v>
      </c>
      <c r="D9" s="96">
        <v>2</v>
      </c>
      <c r="E9" s="116">
        <v>64.84</v>
      </c>
      <c r="F9" s="116">
        <v>62.99</v>
      </c>
      <c r="G9" s="116">
        <v>78.52</v>
      </c>
      <c r="H9" s="114">
        <f t="shared" si="0"/>
        <v>62.99</v>
      </c>
      <c r="I9" s="114">
        <f t="shared" si="1"/>
        <v>125.98</v>
      </c>
      <c r="J9" s="114">
        <f t="shared" si="2"/>
        <v>10.5</v>
      </c>
    </row>
    <row r="10" spans="1:10" s="94" customFormat="1" ht="12.75">
      <c r="A10" s="101">
        <v>8</v>
      </c>
      <c r="B10" s="102" t="s">
        <v>200</v>
      </c>
      <c r="C10" s="101" t="s">
        <v>287</v>
      </c>
      <c r="D10" s="101">
        <v>30</v>
      </c>
      <c r="E10" s="113">
        <v>11</v>
      </c>
      <c r="F10" s="113">
        <v>13.7</v>
      </c>
      <c r="G10" s="113">
        <v>10.38</v>
      </c>
      <c r="H10" s="114">
        <f>SMALL(E10:G10,1)</f>
        <v>10.38</v>
      </c>
      <c r="I10" s="114">
        <f>D10*H10</f>
        <v>311.39999999999998</v>
      </c>
      <c r="J10" s="114">
        <f>I10/12</f>
        <v>25.95</v>
      </c>
    </row>
    <row r="11" spans="1:10" ht="38.25">
      <c r="A11" s="101">
        <v>9</v>
      </c>
      <c r="B11" s="102" t="s">
        <v>494</v>
      </c>
      <c r="C11" s="101" t="s">
        <v>287</v>
      </c>
      <c r="D11" s="101">
        <v>70</v>
      </c>
      <c r="E11" s="113">
        <v>7.9</v>
      </c>
      <c r="F11" s="113">
        <v>8.89</v>
      </c>
      <c r="G11" s="113">
        <v>7.9</v>
      </c>
      <c r="H11" s="114">
        <f t="shared" si="0"/>
        <v>7.9</v>
      </c>
      <c r="I11" s="114">
        <f t="shared" si="1"/>
        <v>553</v>
      </c>
      <c r="J11" s="114">
        <f t="shared" si="2"/>
        <v>46.08</v>
      </c>
    </row>
    <row r="12" spans="1:10" s="111" customFormat="1" ht="25.5">
      <c r="A12" s="101">
        <v>10</v>
      </c>
      <c r="B12" s="107" t="s">
        <v>299</v>
      </c>
      <c r="C12" s="101" t="s">
        <v>287</v>
      </c>
      <c r="D12" s="109">
        <v>7</v>
      </c>
      <c r="E12" s="115">
        <v>34.9</v>
      </c>
      <c r="F12" s="115">
        <v>43</v>
      </c>
      <c r="G12" s="115">
        <v>45.98</v>
      </c>
      <c r="H12" s="114">
        <f t="shared" si="0"/>
        <v>34.9</v>
      </c>
      <c r="I12" s="114">
        <f t="shared" si="1"/>
        <v>244.3</v>
      </c>
      <c r="J12" s="114">
        <f t="shared" si="2"/>
        <v>20.36</v>
      </c>
    </row>
    <row r="13" spans="1:10" s="94" customFormat="1" ht="25.5">
      <c r="A13" s="101">
        <v>11</v>
      </c>
      <c r="B13" s="102" t="s">
        <v>203</v>
      </c>
      <c r="C13" s="101" t="s">
        <v>287</v>
      </c>
      <c r="D13" s="101">
        <v>7</v>
      </c>
      <c r="E13" s="113">
        <v>10.3</v>
      </c>
      <c r="F13" s="113">
        <v>16.899999999999999</v>
      </c>
      <c r="G13" s="113">
        <v>18.8</v>
      </c>
      <c r="H13" s="114">
        <f>SMALL(E13:G13,1)</f>
        <v>10.3</v>
      </c>
      <c r="I13" s="114">
        <f>D13*H13</f>
        <v>72.099999999999994</v>
      </c>
      <c r="J13" s="114">
        <f>I13/12</f>
        <v>6.01</v>
      </c>
    </row>
    <row r="14" spans="1:10" s="94" customFormat="1" ht="25.5">
      <c r="A14" s="101">
        <v>12</v>
      </c>
      <c r="B14" s="102" t="s">
        <v>205</v>
      </c>
      <c r="C14" s="101" t="s">
        <v>287</v>
      </c>
      <c r="D14" s="101">
        <v>7</v>
      </c>
      <c r="E14" s="113">
        <v>5.5</v>
      </c>
      <c r="F14" s="113">
        <v>9.9</v>
      </c>
      <c r="G14" s="113">
        <v>8.3699999999999992</v>
      </c>
      <c r="H14" s="114">
        <f>SMALL(E14:G14,1)</f>
        <v>5.5</v>
      </c>
      <c r="I14" s="114">
        <f>D14*H14</f>
        <v>38.5</v>
      </c>
      <c r="J14" s="114">
        <f>I14/12</f>
        <v>3.21</v>
      </c>
    </row>
    <row r="15" spans="1:10" s="111" customFormat="1">
      <c r="A15" s="101">
        <v>13</v>
      </c>
      <c r="B15" s="107" t="s">
        <v>302</v>
      </c>
      <c r="C15" s="101" t="s">
        <v>287</v>
      </c>
      <c r="D15" s="109">
        <v>20</v>
      </c>
      <c r="E15" s="115">
        <v>3.9</v>
      </c>
      <c r="F15" s="115">
        <v>4.29</v>
      </c>
      <c r="G15" s="115">
        <v>7.99</v>
      </c>
      <c r="H15" s="114">
        <f t="shared" si="0"/>
        <v>3.9</v>
      </c>
      <c r="I15" s="114">
        <f t="shared" si="1"/>
        <v>78</v>
      </c>
      <c r="J15" s="114">
        <f t="shared" si="2"/>
        <v>6.5</v>
      </c>
    </row>
    <row r="16" spans="1:10" s="111" customFormat="1">
      <c r="A16" s="101">
        <v>14</v>
      </c>
      <c r="B16" s="107" t="s">
        <v>303</v>
      </c>
      <c r="C16" s="101" t="s">
        <v>287</v>
      </c>
      <c r="D16" s="109">
        <v>6</v>
      </c>
      <c r="E16" s="115">
        <v>3.9</v>
      </c>
      <c r="F16" s="115">
        <v>4.5</v>
      </c>
      <c r="G16" s="115">
        <v>4.99</v>
      </c>
      <c r="H16" s="114">
        <f t="shared" si="0"/>
        <v>3.9</v>
      </c>
      <c r="I16" s="114">
        <f t="shared" si="1"/>
        <v>23.4</v>
      </c>
      <c r="J16" s="114">
        <f t="shared" si="2"/>
        <v>1.95</v>
      </c>
    </row>
    <row r="17" spans="1:10" s="111" customFormat="1">
      <c r="A17" s="101">
        <v>15</v>
      </c>
      <c r="B17" s="107" t="s">
        <v>304</v>
      </c>
      <c r="C17" s="101" t="s">
        <v>287</v>
      </c>
      <c r="D17" s="109">
        <v>3</v>
      </c>
      <c r="E17" s="115">
        <v>127.69</v>
      </c>
      <c r="F17" s="115">
        <v>90.9</v>
      </c>
      <c r="G17" s="115">
        <v>128.34</v>
      </c>
      <c r="H17" s="114">
        <f t="shared" si="0"/>
        <v>90.9</v>
      </c>
      <c r="I17" s="114">
        <f t="shared" si="1"/>
        <v>272.7</v>
      </c>
      <c r="J17" s="114">
        <f t="shared" si="2"/>
        <v>22.73</v>
      </c>
    </row>
    <row r="18" spans="1:10" s="111" customFormat="1">
      <c r="A18" s="101">
        <v>16</v>
      </c>
      <c r="B18" s="107" t="s">
        <v>305</v>
      </c>
      <c r="C18" s="101" t="s">
        <v>287</v>
      </c>
      <c r="D18" s="109">
        <v>3</v>
      </c>
      <c r="E18" s="115">
        <v>243.96</v>
      </c>
      <c r="F18" s="115">
        <v>179.99</v>
      </c>
      <c r="G18" s="115">
        <v>145.9</v>
      </c>
      <c r="H18" s="114">
        <f t="shared" si="0"/>
        <v>145.9</v>
      </c>
      <c r="I18" s="114">
        <f t="shared" si="1"/>
        <v>437.7</v>
      </c>
      <c r="J18" s="114">
        <f t="shared" si="2"/>
        <v>36.479999999999997</v>
      </c>
    </row>
    <row r="19" spans="1:10" s="111" customFormat="1" ht="27.75">
      <c r="A19" s="101">
        <v>17</v>
      </c>
      <c r="B19" s="107" t="s">
        <v>492</v>
      </c>
      <c r="C19" s="101" t="s">
        <v>287</v>
      </c>
      <c r="D19" s="109">
        <v>3</v>
      </c>
      <c r="E19" s="115">
        <v>149.9</v>
      </c>
      <c r="F19" s="115">
        <v>162.09</v>
      </c>
      <c r="G19" s="115">
        <v>189.13</v>
      </c>
      <c r="H19" s="114">
        <f t="shared" si="0"/>
        <v>149.9</v>
      </c>
      <c r="I19" s="114">
        <f t="shared" si="1"/>
        <v>449.7</v>
      </c>
      <c r="J19" s="114">
        <f t="shared" si="2"/>
        <v>37.479999999999997</v>
      </c>
    </row>
    <row r="20" spans="1:10" s="111" customFormat="1">
      <c r="A20" s="101">
        <v>18</v>
      </c>
      <c r="B20" s="107" t="s">
        <v>308</v>
      </c>
      <c r="C20" s="101" t="s">
        <v>287</v>
      </c>
      <c r="D20" s="108">
        <v>3</v>
      </c>
      <c r="E20" s="115">
        <v>99.9</v>
      </c>
      <c r="F20" s="115">
        <v>145</v>
      </c>
      <c r="G20" s="115">
        <v>199</v>
      </c>
      <c r="H20" s="114">
        <f t="shared" si="0"/>
        <v>99.9</v>
      </c>
      <c r="I20" s="114">
        <f t="shared" si="1"/>
        <v>299.7</v>
      </c>
      <c r="J20" s="114">
        <f t="shared" si="2"/>
        <v>24.98</v>
      </c>
    </row>
    <row r="21" spans="1:10" s="111" customFormat="1">
      <c r="A21" s="101">
        <v>19</v>
      </c>
      <c r="B21" s="107" t="s">
        <v>310</v>
      </c>
      <c r="C21" s="108" t="s">
        <v>287</v>
      </c>
      <c r="D21" s="109">
        <v>30</v>
      </c>
      <c r="E21" s="115">
        <v>49.99</v>
      </c>
      <c r="F21" s="115">
        <v>30.29</v>
      </c>
      <c r="G21" s="115">
        <v>39</v>
      </c>
      <c r="H21" s="114">
        <f t="shared" si="0"/>
        <v>30.29</v>
      </c>
      <c r="I21" s="114">
        <f t="shared" si="1"/>
        <v>908.7</v>
      </c>
      <c r="J21" s="114">
        <f t="shared" si="2"/>
        <v>75.73</v>
      </c>
    </row>
    <row r="22" spans="1:10" s="94" customFormat="1" ht="25.5">
      <c r="A22" s="101">
        <v>20</v>
      </c>
      <c r="B22" s="102" t="s">
        <v>250</v>
      </c>
      <c r="C22" s="101" t="s">
        <v>287</v>
      </c>
      <c r="D22" s="101">
        <v>39</v>
      </c>
      <c r="E22" s="113">
        <v>5.5</v>
      </c>
      <c r="F22" s="113">
        <v>4.4400000000000004</v>
      </c>
      <c r="G22" s="113">
        <v>5.4</v>
      </c>
      <c r="H22" s="114">
        <f>SMALL(E22:G22,1)</f>
        <v>4.4400000000000004</v>
      </c>
      <c r="I22" s="114">
        <f>D22*H22</f>
        <v>173.16</v>
      </c>
      <c r="J22" s="114">
        <f>I22/12</f>
        <v>14.43</v>
      </c>
    </row>
    <row r="23" spans="1:10" s="94" customFormat="1" ht="12.75">
      <c r="A23" s="101">
        <v>21</v>
      </c>
      <c r="B23" s="102" t="s">
        <v>276</v>
      </c>
      <c r="C23" s="101" t="s">
        <v>287</v>
      </c>
      <c r="D23" s="101">
        <v>1</v>
      </c>
      <c r="E23" s="115">
        <v>154.9</v>
      </c>
      <c r="F23" s="115">
        <v>91</v>
      </c>
      <c r="G23" s="115">
        <v>119</v>
      </c>
      <c r="H23" s="114">
        <f>SMALL(E23:G23,1)</f>
        <v>91</v>
      </c>
      <c r="I23" s="114">
        <f>D23*H23</f>
        <v>91</v>
      </c>
      <c r="J23" s="114">
        <f>I23/12</f>
        <v>7.58</v>
      </c>
    </row>
    <row r="24" spans="1:10" s="94" customFormat="1" ht="12.75">
      <c r="A24" s="101">
        <v>22</v>
      </c>
      <c r="B24" s="102" t="s">
        <v>277</v>
      </c>
      <c r="C24" s="101" t="s">
        <v>287</v>
      </c>
      <c r="D24" s="101">
        <v>1</v>
      </c>
      <c r="E24" s="115">
        <v>178.9</v>
      </c>
      <c r="F24" s="115">
        <v>209.9</v>
      </c>
      <c r="G24" s="115">
        <v>163.4</v>
      </c>
      <c r="H24" s="114">
        <f>SMALL(E24:G24,1)</f>
        <v>163.4</v>
      </c>
      <c r="I24" s="114">
        <f>D24*H24</f>
        <v>163.4</v>
      </c>
      <c r="J24" s="114">
        <f>I24/12</f>
        <v>13.62</v>
      </c>
    </row>
    <row r="25" spans="1:10" s="94" customFormat="1" ht="25.5">
      <c r="A25" s="101">
        <v>23</v>
      </c>
      <c r="B25" s="102" t="s">
        <v>274</v>
      </c>
      <c r="C25" s="101" t="s">
        <v>287</v>
      </c>
      <c r="D25" s="101">
        <v>16</v>
      </c>
      <c r="E25" s="115">
        <v>64.52</v>
      </c>
      <c r="F25" s="115">
        <v>54.9</v>
      </c>
      <c r="G25" s="115">
        <v>31.45</v>
      </c>
      <c r="H25" s="114">
        <f>SMALL(E25:G25,1)</f>
        <v>31.45</v>
      </c>
      <c r="I25" s="114">
        <f>D25*H25</f>
        <v>503.2</v>
      </c>
      <c r="J25" s="114">
        <f>I25/12</f>
        <v>41.93</v>
      </c>
    </row>
    <row r="26" spans="1:10" s="94" customFormat="1">
      <c r="A26" s="146" t="s">
        <v>194</v>
      </c>
      <c r="B26" s="146"/>
      <c r="C26" s="146"/>
      <c r="D26" s="146"/>
      <c r="E26" s="146"/>
      <c r="F26" s="146"/>
      <c r="G26" s="146"/>
      <c r="H26" s="146"/>
      <c r="I26" s="146"/>
      <c r="J26" s="117">
        <f>SUM(J3:J25)</f>
        <v>491.69</v>
      </c>
    </row>
    <row r="27" spans="1:10" s="94" customFormat="1">
      <c r="A27" s="146" t="s">
        <v>311</v>
      </c>
      <c r="B27" s="146"/>
      <c r="C27" s="146"/>
      <c r="D27" s="146"/>
      <c r="E27" s="146"/>
      <c r="F27" s="146"/>
      <c r="G27" s="146"/>
      <c r="H27" s="146"/>
      <c r="I27" s="146"/>
      <c r="J27" s="117">
        <f>J26/'Quantidade colaboradores'!C9</f>
        <v>40.380000000000003</v>
      </c>
    </row>
  </sheetData>
  <mergeCells count="3">
    <mergeCell ref="A1:J1"/>
    <mergeCell ref="A26:I26"/>
    <mergeCell ref="A27:I2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24"/>
  <sheetViews>
    <sheetView showGridLines="0" zoomScaleNormal="100" workbookViewId="0">
      <selection sqref="A1:K1"/>
    </sheetView>
  </sheetViews>
  <sheetFormatPr defaultRowHeight="15"/>
  <cols>
    <col min="1" max="1" width="6.28515625" style="111" bestFit="1" customWidth="1"/>
    <col min="2" max="2" width="90.7109375" style="111" bestFit="1" customWidth="1"/>
    <col min="3" max="3" width="13.42578125" style="111" bestFit="1" customWidth="1"/>
    <col min="4" max="4" width="14.5703125" style="111" bestFit="1" customWidth="1"/>
    <col min="5" max="5" width="14" style="111" bestFit="1" customWidth="1"/>
    <col min="6" max="7" width="13.28515625" style="111" bestFit="1" customWidth="1"/>
    <col min="8" max="8" width="14.140625" style="111" bestFit="1" customWidth="1"/>
    <col min="9" max="9" width="12.7109375" style="111" bestFit="1" customWidth="1"/>
    <col min="10" max="10" width="17" style="111" customWidth="1"/>
    <col min="11" max="11" width="13.5703125" style="111" customWidth="1"/>
    <col min="12" max="16384" width="9.140625" style="111"/>
  </cols>
  <sheetData>
    <row r="1" spans="1:11" s="94" customFormat="1" ht="18.75" customHeight="1">
      <c r="A1" s="139" t="s">
        <v>173</v>
      </c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2" spans="1:11" s="100" customFormat="1" ht="30">
      <c r="A2" s="95" t="s">
        <v>174</v>
      </c>
      <c r="B2" s="95" t="s">
        <v>175</v>
      </c>
      <c r="C2" s="95" t="s">
        <v>288</v>
      </c>
      <c r="D2" s="95" t="s">
        <v>289</v>
      </c>
      <c r="E2" s="95" t="s">
        <v>178</v>
      </c>
      <c r="F2" s="95" t="s">
        <v>179</v>
      </c>
      <c r="G2" s="95" t="s">
        <v>180</v>
      </c>
      <c r="H2" s="95" t="s">
        <v>290</v>
      </c>
      <c r="I2" s="95" t="s">
        <v>291</v>
      </c>
      <c r="J2" s="95" t="s">
        <v>292</v>
      </c>
      <c r="K2" s="95" t="s">
        <v>293</v>
      </c>
    </row>
    <row r="3" spans="1:11" s="110" customFormat="1" ht="89.25">
      <c r="A3" s="108">
        <v>1</v>
      </c>
      <c r="B3" s="107" t="s">
        <v>294</v>
      </c>
      <c r="C3" s="108" t="s">
        <v>295</v>
      </c>
      <c r="D3" s="109">
        <v>2</v>
      </c>
      <c r="E3" s="118">
        <v>2990</v>
      </c>
      <c r="F3" s="118">
        <v>2990</v>
      </c>
      <c r="G3" s="118">
        <v>3300</v>
      </c>
      <c r="H3" s="114">
        <f>SMALL(E3:G3,1)</f>
        <v>2990</v>
      </c>
      <c r="I3" s="114">
        <f>D3*H3</f>
        <v>5980</v>
      </c>
      <c r="J3" s="112">
        <v>0.1</v>
      </c>
      <c r="K3" s="119">
        <f>J3*I3/12</f>
        <v>49.83</v>
      </c>
    </row>
    <row r="4" spans="1:11" s="106" customFormat="1">
      <c r="A4" s="148" t="s">
        <v>194</v>
      </c>
      <c r="B4" s="149"/>
      <c r="C4" s="149"/>
      <c r="D4" s="149"/>
      <c r="E4" s="149"/>
      <c r="F4" s="149"/>
      <c r="G4" s="149"/>
      <c r="H4" s="149"/>
      <c r="I4" s="149"/>
      <c r="J4" s="150"/>
      <c r="K4" s="120">
        <f>K3</f>
        <v>49.83</v>
      </c>
    </row>
    <row r="5" spans="1:11" s="106" customFormat="1">
      <c r="A5" s="148" t="s">
        <v>296</v>
      </c>
      <c r="B5" s="149"/>
      <c r="C5" s="149"/>
      <c r="D5" s="149"/>
      <c r="E5" s="149"/>
      <c r="F5" s="149"/>
      <c r="G5" s="149"/>
      <c r="H5" s="149"/>
      <c r="I5" s="149"/>
      <c r="J5" s="150"/>
      <c r="K5" s="120">
        <f>K4/'Quantidade colaboradores'!D9</f>
        <v>49.83</v>
      </c>
    </row>
    <row r="7" spans="1:11" s="94" customFormat="1" ht="18.75">
      <c r="A7" s="139" t="s">
        <v>189</v>
      </c>
      <c r="B7" s="140"/>
      <c r="C7" s="140"/>
      <c r="D7" s="140"/>
      <c r="E7" s="140"/>
      <c r="F7" s="140"/>
      <c r="G7" s="140"/>
      <c r="H7" s="140"/>
      <c r="I7" s="140"/>
      <c r="J7" s="140"/>
      <c r="K7" s="141"/>
    </row>
    <row r="8" spans="1:11" s="100" customFormat="1" ht="30">
      <c r="A8" s="95" t="s">
        <v>174</v>
      </c>
      <c r="B8" s="95" t="s">
        <v>175</v>
      </c>
      <c r="C8" s="95" t="s">
        <v>288</v>
      </c>
      <c r="D8" s="95" t="s">
        <v>289</v>
      </c>
      <c r="E8" s="95" t="s">
        <v>178</v>
      </c>
      <c r="F8" s="95" t="s">
        <v>179</v>
      </c>
      <c r="G8" s="95" t="s">
        <v>180</v>
      </c>
      <c r="H8" s="95" t="s">
        <v>290</v>
      </c>
      <c r="I8" s="95" t="s">
        <v>291</v>
      </c>
      <c r="J8" s="95" t="s">
        <v>292</v>
      </c>
      <c r="K8" s="95" t="s">
        <v>293</v>
      </c>
    </row>
    <row r="9" spans="1:11" ht="25.5">
      <c r="A9" s="108">
        <v>1</v>
      </c>
      <c r="B9" s="107" t="s">
        <v>469</v>
      </c>
      <c r="C9" s="108" t="s">
        <v>287</v>
      </c>
      <c r="D9" s="109">
        <v>1</v>
      </c>
      <c r="E9" s="115">
        <v>483.55</v>
      </c>
      <c r="F9" s="115">
        <v>538.23</v>
      </c>
      <c r="G9" s="115">
        <v>479.9</v>
      </c>
      <c r="H9" s="114">
        <f t="shared" ref="H9:H16" si="0">SMALL(E9:G9,1)</f>
        <v>479.9</v>
      </c>
      <c r="I9" s="114">
        <f t="shared" ref="I9:I16" si="1">D9*H9</f>
        <v>479.9</v>
      </c>
      <c r="J9" s="112">
        <v>0.1</v>
      </c>
      <c r="K9" s="115">
        <f t="shared" ref="K9:K16" si="2">J9*I9/12</f>
        <v>4</v>
      </c>
    </row>
    <row r="10" spans="1:11">
      <c r="A10" s="108">
        <v>2</v>
      </c>
      <c r="B10" s="107" t="s">
        <v>297</v>
      </c>
      <c r="C10" s="108" t="s">
        <v>287</v>
      </c>
      <c r="D10" s="109">
        <v>7</v>
      </c>
      <c r="E10" s="115">
        <v>876.83</v>
      </c>
      <c r="F10" s="115">
        <v>999.9</v>
      </c>
      <c r="G10" s="115">
        <v>872.5</v>
      </c>
      <c r="H10" s="114">
        <f t="shared" si="0"/>
        <v>872.5</v>
      </c>
      <c r="I10" s="114">
        <f t="shared" si="1"/>
        <v>6107.5</v>
      </c>
      <c r="J10" s="112">
        <v>0.1</v>
      </c>
      <c r="K10" s="115">
        <f t="shared" si="2"/>
        <v>50.9</v>
      </c>
    </row>
    <row r="11" spans="1:11" ht="51">
      <c r="A11" s="108">
        <v>3</v>
      </c>
      <c r="B11" s="107" t="s">
        <v>298</v>
      </c>
      <c r="C11" s="108" t="s">
        <v>287</v>
      </c>
      <c r="D11" s="109">
        <v>1</v>
      </c>
      <c r="E11" s="115">
        <v>2094</v>
      </c>
      <c r="F11" s="115">
        <v>1949</v>
      </c>
      <c r="G11" s="115">
        <v>1890</v>
      </c>
      <c r="H11" s="114">
        <f t="shared" si="0"/>
        <v>1890</v>
      </c>
      <c r="I11" s="114">
        <f t="shared" si="1"/>
        <v>1890</v>
      </c>
      <c r="J11" s="112">
        <v>0.1</v>
      </c>
      <c r="K11" s="115">
        <f t="shared" si="2"/>
        <v>15.75</v>
      </c>
    </row>
    <row r="12" spans="1:11">
      <c r="A12" s="108">
        <v>4</v>
      </c>
      <c r="B12" s="107" t="s">
        <v>300</v>
      </c>
      <c r="C12" s="108" t="s">
        <v>287</v>
      </c>
      <c r="D12" s="109">
        <v>1</v>
      </c>
      <c r="E12" s="115">
        <v>2508.4499999999998</v>
      </c>
      <c r="F12" s="115">
        <v>2176.89</v>
      </c>
      <c r="G12" s="115">
        <v>2362</v>
      </c>
      <c r="H12" s="114">
        <f t="shared" si="0"/>
        <v>2176.89</v>
      </c>
      <c r="I12" s="114">
        <f t="shared" si="1"/>
        <v>2176.89</v>
      </c>
      <c r="J12" s="112">
        <v>0.1</v>
      </c>
      <c r="K12" s="115">
        <f t="shared" si="2"/>
        <v>18.14</v>
      </c>
    </row>
    <row r="13" spans="1:11">
      <c r="A13" s="108">
        <v>5</v>
      </c>
      <c r="B13" s="107" t="s">
        <v>301</v>
      </c>
      <c r="C13" s="108" t="s">
        <v>287</v>
      </c>
      <c r="D13" s="109">
        <v>2</v>
      </c>
      <c r="E13" s="115">
        <v>2735.9</v>
      </c>
      <c r="F13" s="115">
        <v>2766.4</v>
      </c>
      <c r="G13" s="115">
        <v>2499.84</v>
      </c>
      <c r="H13" s="114">
        <f t="shared" si="0"/>
        <v>2499.84</v>
      </c>
      <c r="I13" s="114">
        <f t="shared" si="1"/>
        <v>4999.68</v>
      </c>
      <c r="J13" s="112">
        <v>0.1</v>
      </c>
      <c r="K13" s="115">
        <f t="shared" si="2"/>
        <v>41.66</v>
      </c>
    </row>
    <row r="14" spans="1:11" ht="89.25">
      <c r="A14" s="108">
        <v>6</v>
      </c>
      <c r="B14" s="107" t="s">
        <v>306</v>
      </c>
      <c r="C14" s="108" t="s">
        <v>287</v>
      </c>
      <c r="D14" s="109">
        <v>1</v>
      </c>
      <c r="E14" s="115">
        <v>2809.96</v>
      </c>
      <c r="F14" s="115">
        <v>2999</v>
      </c>
      <c r="G14" s="115">
        <v>3050</v>
      </c>
      <c r="H14" s="114">
        <f t="shared" si="0"/>
        <v>2809.96</v>
      </c>
      <c r="I14" s="114">
        <f t="shared" si="1"/>
        <v>2809.96</v>
      </c>
      <c r="J14" s="112">
        <v>0.1</v>
      </c>
      <c r="K14" s="115">
        <f t="shared" si="2"/>
        <v>23.42</v>
      </c>
    </row>
    <row r="15" spans="1:11">
      <c r="A15" s="108">
        <v>7</v>
      </c>
      <c r="B15" s="107" t="s">
        <v>307</v>
      </c>
      <c r="C15" s="109" t="s">
        <v>287</v>
      </c>
      <c r="D15" s="108">
        <v>1</v>
      </c>
      <c r="E15" s="115">
        <v>542.23</v>
      </c>
      <c r="F15" s="115">
        <v>489.9</v>
      </c>
      <c r="G15" s="115">
        <v>470.75</v>
      </c>
      <c r="H15" s="114">
        <f t="shared" si="0"/>
        <v>470.75</v>
      </c>
      <c r="I15" s="114">
        <f t="shared" si="1"/>
        <v>470.75</v>
      </c>
      <c r="J15" s="112">
        <v>0.1</v>
      </c>
      <c r="K15" s="115">
        <f t="shared" si="2"/>
        <v>3.92</v>
      </c>
    </row>
    <row r="16" spans="1:11" ht="25.5">
      <c r="A16" s="108">
        <v>8</v>
      </c>
      <c r="B16" s="107" t="s">
        <v>309</v>
      </c>
      <c r="C16" s="108" t="s">
        <v>287</v>
      </c>
      <c r="D16" s="109">
        <v>2</v>
      </c>
      <c r="E16" s="115">
        <v>2769.92</v>
      </c>
      <c r="F16" s="115">
        <v>1807.85</v>
      </c>
      <c r="G16" s="115">
        <v>2499.9899999999998</v>
      </c>
      <c r="H16" s="114">
        <f t="shared" si="0"/>
        <v>1807.85</v>
      </c>
      <c r="I16" s="114">
        <f t="shared" si="1"/>
        <v>3615.7</v>
      </c>
      <c r="J16" s="112">
        <v>0.1</v>
      </c>
      <c r="K16" s="115">
        <f t="shared" si="2"/>
        <v>30.13</v>
      </c>
    </row>
    <row r="17" spans="1:11">
      <c r="A17" s="148" t="s">
        <v>194</v>
      </c>
      <c r="B17" s="149"/>
      <c r="C17" s="149"/>
      <c r="D17" s="149"/>
      <c r="E17" s="149"/>
      <c r="F17" s="149"/>
      <c r="G17" s="149"/>
      <c r="H17" s="149"/>
      <c r="I17" s="149"/>
      <c r="J17" s="150"/>
      <c r="K17" s="120">
        <f>SUM(K9:K16)</f>
        <v>187.92</v>
      </c>
    </row>
    <row r="18" spans="1:11">
      <c r="A18" s="148" t="s">
        <v>311</v>
      </c>
      <c r="B18" s="149"/>
      <c r="C18" s="149"/>
      <c r="D18" s="149"/>
      <c r="E18" s="149"/>
      <c r="F18" s="149"/>
      <c r="G18" s="149"/>
      <c r="H18" s="149"/>
      <c r="I18" s="149"/>
      <c r="J18" s="150"/>
      <c r="K18" s="121">
        <f>K17/'Quantidade colaboradores'!C9</f>
        <v>15.43</v>
      </c>
    </row>
    <row r="20" spans="1:11" ht="18.75">
      <c r="A20" s="139" t="s">
        <v>312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1"/>
    </row>
    <row r="21" spans="1:11" ht="30">
      <c r="A21" s="95" t="s">
        <v>174</v>
      </c>
      <c r="B21" s="95" t="s">
        <v>175</v>
      </c>
      <c r="C21" s="95" t="s">
        <v>288</v>
      </c>
      <c r="D21" s="95" t="s">
        <v>289</v>
      </c>
      <c r="E21" s="95" t="s">
        <v>178</v>
      </c>
      <c r="F21" s="95" t="s">
        <v>179</v>
      </c>
      <c r="G21" s="95" t="s">
        <v>180</v>
      </c>
      <c r="H21" s="95" t="s">
        <v>290</v>
      </c>
      <c r="I21" s="95" t="s">
        <v>291</v>
      </c>
      <c r="J21" s="95" t="s">
        <v>292</v>
      </c>
      <c r="K21" s="95" t="s">
        <v>293</v>
      </c>
    </row>
    <row r="22" spans="1:11" ht="38.25">
      <c r="A22" s="109">
        <v>1</v>
      </c>
      <c r="B22" s="107" t="s">
        <v>313</v>
      </c>
      <c r="C22" s="109" t="s">
        <v>287</v>
      </c>
      <c r="D22" s="109">
        <v>3</v>
      </c>
      <c r="E22" s="115">
        <v>1059</v>
      </c>
      <c r="F22" s="115">
        <v>1168.5</v>
      </c>
      <c r="G22" s="115">
        <v>1672.42</v>
      </c>
      <c r="H22" s="114">
        <f t="shared" ref="H22" si="3">SMALL(E22:G22,1)</f>
        <v>1059</v>
      </c>
      <c r="I22" s="114">
        <f t="shared" ref="I22" si="4">D22*H22</f>
        <v>3177</v>
      </c>
      <c r="J22" s="112">
        <v>0.1</v>
      </c>
      <c r="K22" s="119">
        <f t="shared" ref="K22" si="5">J22*I22/12</f>
        <v>26.48</v>
      </c>
    </row>
    <row r="23" spans="1:11">
      <c r="A23" s="146" t="s">
        <v>194</v>
      </c>
      <c r="B23" s="146"/>
      <c r="C23" s="146"/>
      <c r="D23" s="146"/>
      <c r="E23" s="146"/>
      <c r="F23" s="146"/>
      <c r="G23" s="146"/>
      <c r="H23" s="146"/>
      <c r="I23" s="146"/>
      <c r="J23" s="146"/>
      <c r="K23" s="121">
        <f>SUM(K14:K22)</f>
        <v>287.3</v>
      </c>
    </row>
    <row r="24" spans="1:11">
      <c r="A24" s="146" t="s">
        <v>195</v>
      </c>
      <c r="B24" s="146"/>
      <c r="C24" s="146"/>
      <c r="D24" s="146"/>
      <c r="E24" s="146"/>
      <c r="F24" s="146"/>
      <c r="G24" s="146"/>
      <c r="H24" s="146"/>
      <c r="I24" s="146"/>
      <c r="J24" s="146"/>
      <c r="K24" s="121">
        <f>K23/('Quantidade colaboradores'!C9+'Quantidade colaboradores'!D9)</f>
        <v>21.8</v>
      </c>
    </row>
  </sheetData>
  <mergeCells count="9">
    <mergeCell ref="A20:K20"/>
    <mergeCell ref="A23:J23"/>
    <mergeCell ref="A24:J24"/>
    <mergeCell ref="A1:K1"/>
    <mergeCell ref="A4:J4"/>
    <mergeCell ref="A5:J5"/>
    <mergeCell ref="A7:K7"/>
    <mergeCell ref="A17:J17"/>
    <mergeCell ref="A18:J18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43</vt:i4>
      </vt:variant>
    </vt:vector>
  </HeadingPairs>
  <TitlesOfParts>
    <vt:vector size="57" baseType="lpstr">
      <vt:lpstr>Áreas CNMP</vt:lpstr>
      <vt:lpstr>Área "Banheiros"</vt:lpstr>
      <vt:lpstr>Área e produtividade</vt:lpstr>
      <vt:lpstr>Quantidade colaboradores</vt:lpstr>
      <vt:lpstr>Preço mensal unitário por m²</vt:lpstr>
      <vt:lpstr>Uniforme</vt:lpstr>
      <vt:lpstr>Materiais (insumos)</vt:lpstr>
      <vt:lpstr>Materiais (duráveis)</vt:lpstr>
      <vt:lpstr>Equipamentos</vt:lpstr>
      <vt:lpstr>DADOS-ESTATISTICOS</vt:lpstr>
      <vt:lpstr>ENCARGOS-SOCIAIS-E-TRABALHISTAS</vt:lpstr>
      <vt:lpstr>LIMITES-SEGES-PORT-7-2015</vt:lpstr>
      <vt:lpstr>LIMITES-SEGES-PORT-213-2017</vt:lpstr>
      <vt:lpstr>QTDE-ESTIMADA-SERVENTES</vt:lpstr>
      <vt:lpstr>CARGA_HORARIA_SEMANAL</vt:lpstr>
      <vt:lpstr>DIAS_AUSENCIAS_LEGAIS</vt:lpstr>
      <vt:lpstr>DIAS_LICENCA_MATERNIDADE</vt:lpstr>
      <vt:lpstr>DIAS_LICENCA_PATERNIDADE</vt:lpstr>
      <vt:lpstr>DIAS_NA_SEMANA</vt:lpstr>
      <vt:lpstr>DIAS_NO_ANO</vt:lpstr>
      <vt:lpstr>DIAS_NO_MES</vt:lpstr>
      <vt:lpstr>DIAS_PAGOS_EMPRESA_ACID_TRAB</vt:lpstr>
      <vt:lpstr>DIVISOR_DE_HORAS</vt:lpstr>
      <vt:lpstr>HORA_NORMAL</vt:lpstr>
      <vt:lpstr>MEDIA_ANUAL_DIAS_TRABALHO_MES</vt:lpstr>
      <vt:lpstr>MESES_NO_ANO</vt:lpstr>
      <vt:lpstr>MESES_NO_SEMESTRE</vt:lpstr>
      <vt:lpstr>OUTRAS_AUSENCIAS</vt:lpstr>
      <vt:lpstr>PERC_ADIC_FERIAS</vt:lpstr>
      <vt:lpstr>PERC_AVISO_PREVIO_IND</vt:lpstr>
      <vt:lpstr>PERC_AVISO_PREVIO_TRAB</vt:lpstr>
      <vt:lpstr>PERC_DEC_TERC</vt:lpstr>
      <vt:lpstr>PERC_DESC_TRANSP_REMUNERACAO</vt:lpstr>
      <vt:lpstr>PERC_EMPREG_AFAST_TRAB</vt:lpstr>
      <vt:lpstr>PERC_EMPREG_AVISO_PREVIO_IND</vt:lpstr>
      <vt:lpstr>PERC_EMPREG_AVISO_PREVIO_TRAB</vt:lpstr>
      <vt:lpstr>PERC_EMPREG_DEMIT_SEM_JUSTA_CAUSA_TOTAL_DESLIG</vt:lpstr>
      <vt:lpstr>PERC_FGTS</vt:lpstr>
      <vt:lpstr>PERC_GPS_FGTS</vt:lpstr>
      <vt:lpstr>PERC_INCRA</vt:lpstr>
      <vt:lpstr>PERC_INSS</vt:lpstr>
      <vt:lpstr>PERC_MULTA_FGTS</vt:lpstr>
      <vt:lpstr>PERC_MULTA_FGTS_AV_PREV_TRAB</vt:lpstr>
      <vt:lpstr>PERC_NASCIDOS_VIVOS_POPUL_FEM</vt:lpstr>
      <vt:lpstr>PERC_PARTIC_FEM_VIGIL</vt:lpstr>
      <vt:lpstr>PERC_PARTIC_MASC_VIGIL</vt:lpstr>
      <vt:lpstr>PERC_RAT</vt:lpstr>
      <vt:lpstr>PERC_SAL_EDUCACAO</vt:lpstr>
      <vt:lpstr>PERC_SEBRAE</vt:lpstr>
      <vt:lpstr>PERC_SENAC</vt:lpstr>
      <vt:lpstr>PERC_SESC</vt:lpstr>
      <vt:lpstr>PERC_SUBSTITUTO_ACID_TRAB</vt:lpstr>
      <vt:lpstr>PERC_SUBSTITUTO_AFAST_MATERN</vt:lpstr>
      <vt:lpstr>PERC_SUBSTITUTO_AUSENCIAS_LEGAIS</vt:lpstr>
      <vt:lpstr>PERC_SUBSTITUTO_FERIAS</vt:lpstr>
      <vt:lpstr>PERC_SUBSTITUTO_LICENCA_PATERNIDADE</vt:lpstr>
      <vt:lpstr>QTDE_ESTIMADA_SERVENTES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André Felipe Flores da Silva</dc:creator>
  <cp:keywords/>
  <dc:description/>
  <cp:lastModifiedBy>Marciel Rubens da Silva</cp:lastModifiedBy>
  <cp:revision/>
  <dcterms:created xsi:type="dcterms:W3CDTF">2014-02-07T18:14:59Z</dcterms:created>
  <dcterms:modified xsi:type="dcterms:W3CDTF">2024-04-01T19:58:14Z</dcterms:modified>
  <cp:category/>
  <cp:contentStatus/>
</cp:coreProperties>
</file>