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18" activeTab="1"/>
  </bookViews>
  <sheets>
    <sheet name="Vigilante" sheetId="1" r:id="rId1"/>
    <sheet name="RESUMO" sheetId="2" r:id="rId2"/>
  </sheets>
  <definedNames>
    <definedName name="Excel_BuiltIn_Print_Area_1">#REF!</definedName>
    <definedName name="Excel_BuiltIn_Print_Area_2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Informar o valor do salário base da categoria, relativamente a um empregado.
</t>
        </r>
      </text>
    </comment>
    <comment ref="D4" authorId="0">
      <text>
        <r>
          <rPr>
            <sz val="8"/>
            <color indexed="8"/>
            <rFont val="Times New Roman"/>
            <family val="1"/>
          </rPr>
          <t xml:space="preserve">Informar o valor do salário base da categoria, relativamente a um empregado.
</t>
        </r>
      </text>
    </comment>
    <comment ref="F4" authorId="0">
      <text>
        <r>
          <rPr>
            <sz val="8"/>
            <color indexed="8"/>
            <rFont val="Times New Roman"/>
            <family val="1"/>
          </rPr>
          <t xml:space="preserve">Informar o valor do salário base da categoria, relativamente a um empregado.
</t>
        </r>
      </text>
    </comment>
    <comment ref="C5" authorId="0">
      <text>
        <r>
          <rPr>
            <sz val="8"/>
            <color indexed="8"/>
            <rFont val="Times New Roman"/>
            <family val="1"/>
          </rPr>
          <t>Adicional noturno calculado com base no valor da hora estipulada na convenção  coletiva de trabalho, considerando como horas noturnas as compreendidas entre 22:00 h e 5:00 h. A hora do trabalho noturno será computada como de 52 (cinquenta e dois) minutos e 30 (trinta) segundos,desde que a convenção coletiva de trabalho não disponha de forma diferente.</t>
        </r>
      </text>
    </comment>
    <comment ref="C7" authorId="0">
      <text>
        <r>
          <rPr>
            <b/>
            <sz val="8"/>
            <color indexed="8"/>
            <rFont val="Times New Roman"/>
            <family val="1"/>
          </rPr>
          <t xml:space="preserve"> Intrajornada - equivale ao custo de uma hora extra. Portanto, informar o percentual definido na CCT a ser aplicado sobre o valor da hora normal.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Não integra a remuneração e sobre o qual não há incidência de encargos sociais.
</t>
        </r>
      </text>
    </comment>
    <comment ref="C10" authorId="0">
      <text>
        <r>
          <rPr>
            <sz val="8"/>
            <color indexed="8"/>
            <rFont val="Times New Roman"/>
            <family val="1"/>
          </rPr>
          <t>O número de funcionários será sempre 2 nos postos de 12x36 h e 1 nos de 44 h semanais.</t>
        </r>
      </text>
    </comment>
    <comment ref="C13" authorId="0">
      <text>
        <r>
          <rPr>
            <sz val="8"/>
            <color indexed="8"/>
            <rFont val="Times New Roman"/>
            <family val="1"/>
          </rPr>
          <t>Valor definido em pesquisa elaborada pela AUDIN/MPU, considerando o fornecimento de 2 conjuntos por semestre.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>Informar o valor correspondente a duas passagens para os dias trabalhados.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>Informar o valor de cada benefício previsto no acordo coletivo da categoria.</t>
        </r>
      </text>
    </comment>
    <comment ref="C16" authorId="0">
      <text>
        <r>
          <rPr>
            <sz val="8"/>
            <color indexed="8"/>
            <rFont val="Times New Roman"/>
            <family val="1"/>
          </rPr>
          <t>Informar o valor de cada benefício previsto no acordo coletivo da categoria.</t>
        </r>
      </text>
    </comment>
    <comment ref="C17" authorId="0">
      <text>
        <r>
          <rPr>
            <sz val="8"/>
            <color indexed="8"/>
            <rFont val="Times New Roman"/>
            <family val="1"/>
          </rPr>
          <t>Informar o valor de cada benefício previsto no acordo coletivo da categoria.</t>
        </r>
      </text>
    </comment>
    <comment ref="C19" authorId="0">
      <text>
        <r>
          <rPr>
            <sz val="8"/>
            <color indexed="8"/>
            <rFont val="Times New Roman"/>
            <family val="1"/>
          </rPr>
          <t>Inserir o valor de outros insumos, desde que constem do projeto básico ou da convenção coletiva de trabalho.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>Valor definido em pesquisa elaborada pela AUDIN/MPU, sendo aplicável somente para postos de vigilância armada.</t>
        </r>
      </text>
    </comment>
    <comment ref="C37" authorId="0">
      <text>
        <r>
          <rPr>
            <sz val="8"/>
            <color indexed="8"/>
            <rFont val="Times New Roman"/>
            <family val="1"/>
          </rPr>
          <t>Percentual definido em estudo realizado pela SCI/STF e adotado pela AUDIN/MPU</t>
        </r>
      </text>
    </comment>
    <comment ref="D37" authorId="0">
      <text>
        <r>
          <rPr>
            <sz val="8"/>
            <color indexed="8"/>
            <rFont val="Times New Roman"/>
            <family val="1"/>
          </rPr>
          <t>Percentual definido em estudo realizado pela SCI/STF e adotado pela AUDIN/MPU</t>
        </r>
      </text>
    </comment>
    <comment ref="F37" authorId="0">
      <text>
        <r>
          <rPr>
            <sz val="8"/>
            <color indexed="8"/>
            <rFont val="Times New Roman"/>
            <family val="1"/>
          </rPr>
          <t>Percentual definido em estudo realizado pela SCI/STF e adotado pela AUDIN/MPU</t>
        </r>
      </text>
    </comment>
    <comment ref="C54" authorId="0">
      <text>
        <r>
          <rPr>
            <sz val="8"/>
            <color indexed="8"/>
            <rFont val="Times New Roman"/>
            <family val="1"/>
          </rPr>
          <t>Percentual definido em estudo realizado pela CISET/MD e adotado pela AUDIN/MPU.</t>
        </r>
      </text>
    </comment>
    <comment ref="D54" authorId="0">
      <text>
        <r>
          <rPr>
            <sz val="8"/>
            <color indexed="8"/>
            <rFont val="Times New Roman"/>
            <family val="1"/>
          </rPr>
          <t>Percentual definido em estudo realizado pela CISET/MD e adotado pela AUDIN/MPU.</t>
        </r>
      </text>
    </comment>
    <comment ref="F54" authorId="0">
      <text>
        <r>
          <rPr>
            <sz val="8"/>
            <color indexed="8"/>
            <rFont val="Times New Roman"/>
            <family val="1"/>
          </rPr>
          <t>Percentual definido em estudo realizado pela CISET/MD e adotado pela AUDIN/MPU.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>Percentual definido em estudo realizado pela CISET/MD e adotado pela AUDIN/MPU.</t>
        </r>
      </text>
    </comment>
    <comment ref="D55" authorId="0">
      <text>
        <r>
          <rPr>
            <sz val="8"/>
            <color indexed="8"/>
            <rFont val="Times New Roman"/>
            <family val="1"/>
          </rPr>
          <t>Percentual definido em estudo realizado pela CISET/MD e adotado pela AUDIN/MPU.</t>
        </r>
      </text>
    </comment>
    <comment ref="F55" authorId="0">
      <text>
        <r>
          <rPr>
            <sz val="8"/>
            <color indexed="8"/>
            <rFont val="Times New Roman"/>
            <family val="1"/>
          </rPr>
          <t>Percentual definido em estudo realizado pela CISET/MD e adotado pela AUDIN/MPU.</t>
        </r>
      </text>
    </comment>
    <comment ref="B57" authorId="0">
      <text>
        <r>
          <rPr>
            <sz val="8"/>
            <color indexed="8"/>
            <rFont val="Times New Roman"/>
            <family val="1"/>
          </rPr>
          <t>Informar os percentuais correspondentes às alíquotas de retenção previstas nas INSRF nºs 480/2004, alterada pela de nº 539, de  25/04/2005. Quanto ao ISS utilizar a alíquota prevista na legislação municipal onde os serviços serão prestados.</t>
        </r>
      </text>
    </comment>
    <comment ref="E4" authorId="0">
      <text>
        <r>
          <rPr>
            <sz val="8"/>
            <color indexed="8"/>
            <rFont val="Times New Roman"/>
            <family val="1"/>
          </rPr>
          <t xml:space="preserve">Informar o valor do salário base da categoria, relativamente a um empregado.
</t>
        </r>
      </text>
    </comment>
    <comment ref="E37" authorId="0">
      <text>
        <r>
          <rPr>
            <sz val="8"/>
            <color indexed="8"/>
            <rFont val="Times New Roman"/>
            <family val="1"/>
          </rPr>
          <t>Percentual definido em estudo realizado pela SCI/STF e adotado pela AUDIN/MPU</t>
        </r>
      </text>
    </comment>
    <comment ref="E54" authorId="0">
      <text>
        <r>
          <rPr>
            <sz val="8"/>
            <color indexed="8"/>
            <rFont val="Times New Roman"/>
            <family val="1"/>
          </rPr>
          <t>Percentual definido em estudo realizado pela CISET/MD e adotado pela AUDIN/MPU.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>Percentual definido em estudo realizado pela CISET/MD e adotado pela AUDIN/MPU.</t>
        </r>
      </text>
    </comment>
    <comment ref="G4" authorId="0">
      <text>
        <r>
          <rPr>
            <sz val="8"/>
            <color indexed="8"/>
            <rFont val="Times New Roman"/>
            <family val="1"/>
          </rPr>
          <t xml:space="preserve">Informar o valor do salário base da categoria, relativamente a um empregado.
</t>
        </r>
      </text>
    </comment>
    <comment ref="G37" authorId="0">
      <text>
        <r>
          <rPr>
            <sz val="8"/>
            <color indexed="8"/>
            <rFont val="Times New Roman"/>
            <family val="1"/>
          </rPr>
          <t>Percentual definido em estudo realizado pela SCI/STF e adotado pela AUDIN/MPU</t>
        </r>
      </text>
    </comment>
    <comment ref="G54" authorId="0">
      <text>
        <r>
          <rPr>
            <sz val="8"/>
            <color indexed="8"/>
            <rFont val="Times New Roman"/>
            <family val="1"/>
          </rPr>
          <t>Percentual definido em estudo realizado pela CISET/MD e adotado pela AUDIN/MPU.</t>
        </r>
      </text>
    </comment>
    <comment ref="G55" authorId="0">
      <text>
        <r>
          <rPr>
            <sz val="8"/>
            <color indexed="8"/>
            <rFont val="Times New Roman"/>
            <family val="1"/>
          </rPr>
          <t>Percentual definido em estudo realizado pela CISET/MD e adotado pela AUDIN/MPU.</t>
        </r>
      </text>
    </comment>
  </commentList>
</comments>
</file>

<file path=xl/sharedStrings.xml><?xml version="1.0" encoding="utf-8"?>
<sst xmlns="http://schemas.openxmlformats.org/spreadsheetml/2006/main" count="109" uniqueCount="100">
  <si>
    <t>ENTRADA DE DADOS</t>
  </si>
  <si>
    <t>REMUNERAÇÃO CONFORME ACORDO COLETIVO DA CATEGORIA</t>
  </si>
  <si>
    <r>
      <t xml:space="preserve">Valor do salário do vigilante </t>
    </r>
    <r>
      <rPr>
        <b/>
        <sz val="10"/>
        <rFont val="Arial"/>
        <family val="2"/>
      </rPr>
      <t>(1)</t>
    </r>
  </si>
  <si>
    <r>
      <t xml:space="preserve">Valor do adicional noturno  </t>
    </r>
    <r>
      <rPr>
        <b/>
        <sz val="10"/>
        <rFont val="Arial"/>
        <family val="2"/>
      </rPr>
      <t>(2)</t>
    </r>
  </si>
  <si>
    <r>
      <t xml:space="preserve">Valor do adicional de assiduidade </t>
    </r>
    <r>
      <rPr>
        <b/>
        <sz val="10"/>
        <rFont val="Arial"/>
        <family val="2"/>
      </rPr>
      <t>(3.1)</t>
    </r>
  </si>
  <si>
    <r>
      <t xml:space="preserve">Percentual para cálculo do adicional de intrajornada </t>
    </r>
    <r>
      <rPr>
        <b/>
        <sz val="10"/>
        <rFont val="Arial"/>
        <family val="2"/>
      </rPr>
      <t>(3.2)</t>
    </r>
  </si>
  <si>
    <r>
      <t xml:space="preserve">Quantidade de empregados por postos </t>
    </r>
    <r>
      <rPr>
        <b/>
        <sz val="10"/>
        <rFont val="Arial"/>
        <family val="2"/>
      </rPr>
      <t>(4)</t>
    </r>
  </si>
  <si>
    <t>Quantidade de postos</t>
  </si>
  <si>
    <r>
      <t>Valor do uniforme</t>
    </r>
    <r>
      <rPr>
        <b/>
        <sz val="10"/>
        <rFont val="Arial"/>
        <family val="2"/>
      </rPr>
      <t xml:space="preserve"> (5)</t>
    </r>
  </si>
  <si>
    <r>
      <t xml:space="preserve">Valor do auxílio-alimentação </t>
    </r>
    <r>
      <rPr>
        <b/>
        <sz val="10"/>
        <rFont val="Arial"/>
        <family val="2"/>
      </rPr>
      <t>(7)</t>
    </r>
  </si>
  <si>
    <r>
      <t xml:space="preserve">Valor do seguro de vida em grupo </t>
    </r>
    <r>
      <rPr>
        <b/>
        <sz val="10"/>
        <rFont val="Arial"/>
        <family val="2"/>
      </rPr>
      <t>(8)</t>
    </r>
  </si>
  <si>
    <r>
      <t xml:space="preserve">Percentual para cálculo do auxílio funeral </t>
    </r>
    <r>
      <rPr>
        <b/>
        <sz val="10"/>
        <rFont val="Arial"/>
        <family val="2"/>
      </rPr>
      <t>(9)</t>
    </r>
  </si>
  <si>
    <t xml:space="preserve">INSUMOS DIVERSOS </t>
  </si>
  <si>
    <r>
      <t xml:space="preserve">Valor dos equipamentos </t>
    </r>
    <r>
      <rPr>
        <b/>
        <sz val="10"/>
        <rFont val="Arial"/>
        <family val="2"/>
      </rPr>
      <t>(11)</t>
    </r>
  </si>
  <si>
    <t>TRIBUTOS</t>
  </si>
  <si>
    <t xml:space="preserve"> PLANILHA DE CUSTOS</t>
  </si>
  <si>
    <t xml:space="preserve"> Vigilância Armada/Desarmada</t>
  </si>
  <si>
    <t>em R$</t>
  </si>
  <si>
    <t xml:space="preserve"> </t>
  </si>
  <si>
    <t>Descrição do Item</t>
  </si>
  <si>
    <t>Posto  12x36 h Noturno</t>
  </si>
  <si>
    <t>Posto  12x36 h Diurno</t>
  </si>
  <si>
    <t>Posto 44h semanais</t>
  </si>
  <si>
    <t>Valor do adicional noturno</t>
  </si>
  <si>
    <t>Valor do adicional de assiduidade</t>
  </si>
  <si>
    <t>Valor do adicional de intrajornada</t>
  </si>
  <si>
    <t xml:space="preserve">Outros adicionais (especificar)  </t>
  </si>
  <si>
    <r>
      <t xml:space="preserve">Encargos sociais - 72,11% </t>
    </r>
    <r>
      <rPr>
        <b/>
        <sz val="10"/>
        <rFont val="Arial"/>
        <family val="2"/>
      </rPr>
      <t>(12)</t>
    </r>
  </si>
  <si>
    <t>Quantidade de empregados por postos</t>
  </si>
  <si>
    <t>Total Montante A</t>
  </si>
  <si>
    <t>Insumos de Mão-de-Obra</t>
  </si>
  <si>
    <r>
      <t>Valor do uniforme</t>
    </r>
    <r>
      <rPr>
        <b/>
        <sz val="10"/>
        <rFont val="Arial"/>
        <family val="2"/>
      </rPr>
      <t xml:space="preserve"> </t>
    </r>
  </si>
  <si>
    <t>Valor do seguro de vida em grupo</t>
  </si>
  <si>
    <t>Valor do auxílio funeral</t>
  </si>
  <si>
    <t>Total dos Insumos de Mão-de-Obra</t>
  </si>
  <si>
    <t>Insumos Diversos</t>
  </si>
  <si>
    <t>Valor dos equipamentos</t>
  </si>
  <si>
    <t>Total de Insumos Diversos</t>
  </si>
  <si>
    <t>Demais Componentes</t>
  </si>
  <si>
    <r>
      <t xml:space="preserve">Taxa de Administração - 6,12% incidente sobre o somatório do Montante A, Insumos de Mão-de-Obra e Insumos Diversos </t>
    </r>
    <r>
      <rPr>
        <b/>
        <sz val="10"/>
        <rFont val="Arial"/>
        <family val="2"/>
      </rPr>
      <t>(13)</t>
    </r>
  </si>
  <si>
    <r>
      <t>Lucro - 7,20%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incidente sobre o Montante A, Insumos de Mão-de-Obra, Insumos Diversos  e Taxa de Administração </t>
    </r>
    <r>
      <rPr>
        <b/>
        <sz val="10"/>
        <rFont val="Arial"/>
        <family val="2"/>
      </rPr>
      <t>(13)</t>
    </r>
  </si>
  <si>
    <t>Total dos Demais Componentes</t>
  </si>
  <si>
    <t>Tributos (14)</t>
  </si>
  <si>
    <t>PIS - 0,65%</t>
  </si>
  <si>
    <t>COFINS - 3%</t>
  </si>
  <si>
    <t xml:space="preserve">ISSQN - </t>
  </si>
  <si>
    <t>Total dos Tributos (sobre o faturamento)</t>
  </si>
  <si>
    <t>Total do Montante B</t>
  </si>
  <si>
    <r>
      <t xml:space="preserve">Faturamento = preço unitário por posto  </t>
    </r>
    <r>
      <rPr>
        <b/>
        <sz val="10"/>
        <rFont val="Arial"/>
        <family val="2"/>
      </rPr>
      <t>(montante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 + montante  B)</t>
    </r>
  </si>
  <si>
    <t>Total Mensal dos Serviços</t>
  </si>
  <si>
    <r>
      <t>Observações:</t>
    </r>
    <r>
      <rPr>
        <sz val="10"/>
        <rFont val="Arial"/>
        <family val="2"/>
      </rPr>
      <t xml:space="preserve"> A planilha está concebida para efetuar automaticamente os cálculos finais, com a alimentação dos valores individuais.</t>
    </r>
  </si>
  <si>
    <r>
      <t>(1)</t>
    </r>
    <r>
      <rPr>
        <sz val="10"/>
        <rFont val="Arial"/>
        <family val="2"/>
      </rPr>
      <t xml:space="preserve"> Informar o valor do salário base da categoria, relativamente a um empregado.     </t>
    </r>
  </si>
  <si>
    <r>
      <t xml:space="preserve">(3) </t>
    </r>
    <r>
      <rPr>
        <sz val="10"/>
        <rFont val="Arial"/>
        <family val="2"/>
      </rPr>
      <t xml:space="preserve"> Informar somente os adicionais previstos na Convenção Coletiva de Trabalho-CCT ou os decorrentes do local de trabalho, tais como:</t>
    </r>
  </si>
  <si>
    <r>
      <t xml:space="preserve">(3.1) </t>
    </r>
    <r>
      <rPr>
        <sz val="10"/>
        <rFont val="Arial"/>
        <family val="2"/>
      </rPr>
      <t>Assiduidade - informar o  valor do adicional calculado pela regra especificada na CCT.</t>
    </r>
  </si>
  <si>
    <r>
      <t>(5)</t>
    </r>
    <r>
      <rPr>
        <sz val="10"/>
        <rFont val="Arial"/>
        <family val="2"/>
      </rPr>
      <t xml:space="preserve"> Valor médio nacional dos contratos no âmbito do MPU. Foi considerado o fornecimento de 2 conjuntos por semestre.</t>
    </r>
  </si>
  <si>
    <r>
      <t>(6)</t>
    </r>
    <r>
      <rPr>
        <sz val="10"/>
        <rFont val="Arial"/>
        <family val="2"/>
      </rPr>
      <t xml:space="preserve"> Informar o valor correspondente a duas passagens para os dias trabalhados.</t>
    </r>
  </si>
  <si>
    <r>
      <t>(8)</t>
    </r>
    <r>
      <rPr>
        <sz val="10"/>
        <rFont val="Arial"/>
        <family val="2"/>
      </rPr>
      <t xml:space="preserve"> Informar o valor previsto na CCT.</t>
    </r>
  </si>
  <si>
    <r>
      <t>(9)</t>
    </r>
    <r>
      <rPr>
        <sz val="10"/>
        <rFont val="Arial"/>
        <family val="2"/>
      </rPr>
      <t xml:space="preserve"> Percentual definido em estudo realizado pela Casa Civil do Estado de São Paulo e adotado pela AUDIN/MPU.</t>
    </r>
  </si>
  <si>
    <r>
      <t>(13)</t>
    </r>
    <r>
      <rPr>
        <sz val="10"/>
        <rFont val="Arial"/>
        <family val="2"/>
      </rPr>
      <t xml:space="preserve"> Percentuais definidos em estudo realizado pela Casa Civil do Estado de São Paulo e adotado pela AUDIN/MPU.</t>
    </r>
  </si>
  <si>
    <t>%</t>
  </si>
  <si>
    <t>Valor do adicional de periculosidade</t>
  </si>
  <si>
    <r>
      <t>(3.4)</t>
    </r>
    <r>
      <rPr>
        <sz val="10"/>
        <rFont val="Arial"/>
        <family val="2"/>
      </rPr>
      <t xml:space="preserve"> Outros adicionais - especificar se previsto na CCT.</t>
    </r>
  </si>
  <si>
    <r>
      <t>(14)</t>
    </r>
    <r>
      <rPr>
        <sz val="10"/>
        <rFont val="Arial"/>
        <family val="2"/>
      </rPr>
      <t xml:space="preserve"> Informar os percentuais correspondentes às alíquotas de retenção previstas nas IN RFB nº 1.234/2012, excluídos o IRPJ e a CSLL por força do Acórdão TCU nº 950/2007 – Plenário. Quanto ao ISSQN utilizar a alíquota prevista na legislação municipal onde os serviços serão prestados.</t>
    </r>
  </si>
  <si>
    <r>
      <t>(2)</t>
    </r>
    <r>
      <rPr>
        <sz val="10"/>
        <rFont val="Arial"/>
        <family val="2"/>
      </rPr>
      <t xml:space="preserve"> Adicional noturno calculado com base no valor da hora estipulada na convenção  coletiva de trabalho, considerando como horas noturnas as compreendidas entre 22 horas e 5 horas. A hora do trabalho noturno  desde que a convenção coletiva de trabalho não disponha de forma diferente.será computada como de 52 (cinquenta e dois) minutos e 30 (trinta) segundos,</t>
    </r>
  </si>
  <si>
    <t>Valor do salário</t>
  </si>
  <si>
    <r>
      <t>(3.2</t>
    </r>
    <r>
      <rPr>
        <sz val="10"/>
        <rFont val="Arial"/>
        <family val="2"/>
      </rPr>
      <t xml:space="preserve">) Intrajornada - aplicável apenas aos postos de </t>
    </r>
    <r>
      <rPr>
        <b/>
        <sz val="10"/>
        <rFont val="Arial"/>
        <family val="2"/>
      </rPr>
      <t>12x36 horas</t>
    </r>
    <r>
      <rPr>
        <sz val="10"/>
        <rFont val="Arial"/>
        <family val="2"/>
      </rPr>
      <t>, equivale ao custo de uma hora extra. Portanto, informar o percentual definido na CCT a ser aplicado sobre o valor da hora normal.</t>
    </r>
  </si>
  <si>
    <r>
      <t xml:space="preserve">Percentual do adicional de periculosidade </t>
    </r>
    <r>
      <rPr>
        <b/>
        <sz val="10"/>
        <rFont val="Arial"/>
        <family val="2"/>
      </rPr>
      <t>(3.3)</t>
    </r>
  </si>
  <si>
    <r>
      <t xml:space="preserve">(12) </t>
    </r>
    <r>
      <rPr>
        <sz val="10"/>
        <rFont val="Arial"/>
        <family val="2"/>
      </rPr>
      <t>Percentual definido em estudo realizado pela SCI/STF e adotado pela AUDIN/MPU.</t>
    </r>
  </si>
  <si>
    <r>
      <t xml:space="preserve">(10) </t>
    </r>
    <r>
      <rPr>
        <sz val="10"/>
        <rFont val="Arial"/>
        <family val="2"/>
      </rPr>
      <t>Inserir o valor de outros insumos.</t>
    </r>
  </si>
  <si>
    <r>
      <t>(11)</t>
    </r>
    <r>
      <rPr>
        <sz val="10"/>
        <rFont val="Arial"/>
        <family val="2"/>
      </rPr>
      <t xml:space="preserve"> Valor médio nacional dos contratos no âmbito do MPU.</t>
    </r>
  </si>
  <si>
    <r>
      <t xml:space="preserve">Valor da assistência médico-odontológica </t>
    </r>
    <r>
      <rPr>
        <b/>
        <sz val="10"/>
        <rFont val="Arial"/>
        <family val="2"/>
      </rPr>
      <t>(8)</t>
    </r>
  </si>
  <si>
    <t>Valor da assistência médico-odontológica</t>
  </si>
  <si>
    <t>Informar o percentual do ISSQN do município</t>
  </si>
  <si>
    <t xml:space="preserve">Montante A (mão de obra por posto) </t>
  </si>
  <si>
    <t>Valor do vale-transporte  (6)</t>
  </si>
  <si>
    <t>Valor do vale-transporte</t>
  </si>
  <si>
    <t>INSUMOS DE MÃO DE OBRA</t>
  </si>
  <si>
    <r>
      <t>(3.3)</t>
    </r>
    <r>
      <rPr>
        <sz val="10"/>
        <rFont val="Arial"/>
        <family val="2"/>
      </rPr>
      <t xml:space="preserve"> Periculosidade – informar o percentual definido na CCT, e em caso de disposição na referida norma coletiva outorgando-lhe natureza meramente indenizatória, excluí-lo da base de cálculo dos “Encargos Sociais".</t>
    </r>
  </si>
  <si>
    <r>
      <t>(7)</t>
    </r>
    <r>
      <rPr>
        <sz val="10"/>
        <rFont val="Arial"/>
        <family val="2"/>
      </rPr>
      <t xml:space="preserve"> Informar o valor do benefício diário previsto na convenção coletivo da categoria para cada empregado.</t>
    </r>
  </si>
  <si>
    <t>(4) O número de empregados será sempre 2 nos postos de 12x36 horas e 1 nos de 44 h semanais.</t>
  </si>
  <si>
    <t>Valor do auxílio-alimentação</t>
  </si>
  <si>
    <t>DATA BASE DA CATEGORIA(dia/mês/ano):_01/01/2016</t>
  </si>
  <si>
    <t>Posto 12x36h Noturno Masculino Armado</t>
  </si>
  <si>
    <t>Posto 12x36h  Diurno Masculino Armado</t>
  </si>
  <si>
    <t>Posto 44h Semanais Feminino Desarmado</t>
  </si>
  <si>
    <t>Posto 12x36h Supervisão  Diurno  Masculino Desarmado</t>
  </si>
  <si>
    <r>
      <t xml:space="preserve">Fundo para Idenização decorrente de aposenadoria  por invalidez por doença  </t>
    </r>
    <r>
      <rPr>
        <b/>
        <sz val="10"/>
        <rFont val="Arial"/>
        <family val="2"/>
      </rPr>
      <t>(10)</t>
    </r>
  </si>
  <si>
    <t xml:space="preserve">Fundo para Idenização decorrente de aposenadoria  por invalidez por doença </t>
  </si>
  <si>
    <t xml:space="preserve">RESUMO GERAL </t>
  </si>
  <si>
    <t>PROFISSIONAIS</t>
  </si>
  <si>
    <t xml:space="preserve">VALOR UNITÁRIO </t>
  </si>
  <si>
    <t xml:space="preserve">VALOR TOTAL MENSAL </t>
  </si>
  <si>
    <t xml:space="preserve">VALOR TOTAL ANUAL </t>
  </si>
  <si>
    <t xml:space="preserve">VALOR TOTAL </t>
  </si>
  <si>
    <t>Posto 44h Semanais Masculino Desarmado</t>
  </si>
  <si>
    <t>QUANT.POSTO</t>
  </si>
  <si>
    <t xml:space="preserve">  </t>
  </si>
  <si>
    <t>QUANT. EMPR. POR POSTO</t>
  </si>
  <si>
    <r>
      <t xml:space="preserve">Hora extra trabalhadas em feriados Súmula 444 TST  </t>
    </r>
    <r>
      <rPr>
        <b/>
        <sz val="10"/>
        <rFont val="Arial"/>
        <family val="2"/>
      </rPr>
      <t xml:space="preserve">(3.4) </t>
    </r>
  </si>
  <si>
    <t>Valor máximo estimado para a contração R$ 2.389.555,19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</si>
</sst>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0_);\(0\)"/>
    <numFmt numFmtId="174" formatCode="0.00000E+00;\ࣸ"/>
    <numFmt numFmtId="175" formatCode="_(* #,##0_);_(* \(#,##0\);_(* \-??_);_(@_)"/>
    <numFmt numFmtId="176" formatCode="_(* #,##0.000000_);_(* \(#,##0.000000\);_(* \-??_);_(@_)"/>
    <numFmt numFmtId="177" formatCode="_(* #,##0.0000000000_);_(* \(#,##0.0000000000\);_(* \-??????????_);_(@_)"/>
    <numFmt numFmtId="178" formatCode="_(* #,##0.0000000_);_(* \(#,##0.0000000\);_(* \-??_);_(@_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00"/>
    <numFmt numFmtId="186" formatCode="0.000000000"/>
    <numFmt numFmtId="187" formatCode="0.0"/>
    <numFmt numFmtId="188" formatCode="_(* #,##0.000000000_);_(* \(#,##0.000000000\);_(* \-??????????_);_(@_)"/>
    <numFmt numFmtId="189" formatCode="_(* #,##0.00000000000_);_(* \(#,##0.00000000000\);_(* \-??????????_);_(@_)"/>
    <numFmt numFmtId="190" formatCode="_(* #,##0.000000000000_);_(* \(#,##0.000000000000\);_(* \-??????????_);_(@_)"/>
    <numFmt numFmtId="191" formatCode="_(* #,##0.00000000_);_(* \(#,##0.00000000\);_(* \-??????????_);_(@_)"/>
    <numFmt numFmtId="192" formatCode="_(* #,##0.0000000_);_(* \(#,##0.0000000\);_(* \-??????????_);_(@_)"/>
    <numFmt numFmtId="193" formatCode="_(* #,##0.000000_);_(* \(#,##0.000000\);_(* \-??????????_);_(@_)"/>
    <numFmt numFmtId="194" formatCode="_(* #,##0.00000_);_(* \(#,##0.00000\);_(* \-??????????_);_(@_)"/>
    <numFmt numFmtId="195" formatCode="_(* #,##0.0000_);_(* \(#,##0.0000\);_(* \-??????????_);_(@_)"/>
    <numFmt numFmtId="196" formatCode="_(* #,##0.000_);_(* \(#,##0.000\);_(* \-??????????_);_(@_)"/>
    <numFmt numFmtId="197" formatCode="_(* #,##0.00_);_(* \(#,##0.00\);_(* \-??????????_);_(@_)"/>
    <numFmt numFmtId="198" formatCode="[$-416]dddd\,\ d&quot; de &quot;mmmm&quot; de &quot;yyyy"/>
    <numFmt numFmtId="199" formatCode="#,##0.00_ ;\-#,##0.00\ "/>
    <numFmt numFmtId="200" formatCode="&quot;R$&quot;\ 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color indexed="9"/>
      <name val="Arial"/>
      <family val="2"/>
    </font>
    <font>
      <b/>
      <sz val="18"/>
      <color theme="3"/>
      <name val="Cambria"/>
      <family val="2"/>
    </font>
    <font>
      <sz val="8"/>
      <color theme="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2" fontId="0" fillId="0" borderId="0" applyFill="0" applyBorder="0" applyAlignment="0" applyProtection="0"/>
  </cellStyleXfs>
  <cellXfs count="153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19" fillId="22" borderId="10" xfId="0" applyFont="1" applyFill="1" applyBorder="1" applyAlignment="1" applyProtection="1">
      <alignment horizontal="center" vertical="center" wrapText="1"/>
      <protection locked="0"/>
    </xf>
    <xf numFmtId="0" fontId="19" fillId="22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/>
      <protection locked="0"/>
    </xf>
    <xf numFmtId="39" fontId="0" fillId="0" borderId="13" xfId="0" applyNumberFormat="1" applyFont="1" applyBorder="1" applyAlignment="1" applyProtection="1">
      <alignment horizontal="center"/>
      <protection locked="0"/>
    </xf>
    <xf numFmtId="39" fontId="0" fillId="0" borderId="14" xfId="0" applyNumberFormat="1" applyFont="1" applyBorder="1" applyAlignment="1" applyProtection="1">
      <alignment horizontal="center"/>
      <protection locked="0"/>
    </xf>
    <xf numFmtId="39" fontId="0" fillId="0" borderId="15" xfId="0" applyNumberFormat="1" applyFont="1" applyBorder="1" applyAlignment="1" applyProtection="1">
      <alignment horizontal="center"/>
      <protection locked="0"/>
    </xf>
    <xf numFmtId="39" fontId="0" fillId="16" borderId="13" xfId="0" applyNumberFormat="1" applyFont="1" applyFill="1" applyBorder="1" applyAlignment="1" applyProtection="1">
      <alignment horizontal="center"/>
      <protection/>
    </xf>
    <xf numFmtId="39" fontId="0" fillId="16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wrapText="1"/>
      <protection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wrapText="1"/>
      <protection/>
    </xf>
    <xf numFmtId="1" fontId="0" fillId="0" borderId="14" xfId="0" applyNumberFormat="1" applyFont="1" applyBorder="1" applyAlignment="1" applyProtection="1">
      <alignment horizontal="center"/>
      <protection locked="0"/>
    </xf>
    <xf numFmtId="1" fontId="0" fillId="0" borderId="16" xfId="0" applyNumberFormat="1" applyFont="1" applyBorder="1" applyAlignment="1" applyProtection="1">
      <alignment horizontal="center"/>
      <protection locked="0"/>
    </xf>
    <xf numFmtId="3" fontId="0" fillId="0" borderId="14" xfId="0" applyNumberFormat="1" applyFont="1" applyBorder="1" applyAlignment="1" applyProtection="1">
      <alignment horizontal="center"/>
      <protection/>
    </xf>
    <xf numFmtId="3" fontId="0" fillId="0" borderId="13" xfId="0" applyNumberFormat="1" applyFont="1" applyBorder="1" applyAlignment="1" applyProtection="1">
      <alignment horizontal="center"/>
      <protection/>
    </xf>
    <xf numFmtId="3" fontId="0" fillId="0" borderId="16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/>
      <protection locked="0"/>
    </xf>
    <xf numFmtId="3" fontId="0" fillId="0" borderId="18" xfId="0" applyNumberFormat="1" applyFont="1" applyBorder="1" applyAlignment="1" applyProtection="1">
      <alignment horizontal="center"/>
      <protection locked="0"/>
    </xf>
    <xf numFmtId="3" fontId="0" fillId="0" borderId="19" xfId="0" applyNumberFormat="1" applyFont="1" applyBorder="1" applyAlignment="1" applyProtection="1">
      <alignment horizontal="center"/>
      <protection locked="0"/>
    </xf>
    <xf numFmtId="3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vertical="center" wrapText="1"/>
      <protection locked="0"/>
    </xf>
    <xf numFmtId="39" fontId="0" fillId="0" borderId="16" xfId="0" applyNumberFormat="1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vertical="center" wrapText="1"/>
      <protection locked="0"/>
    </xf>
    <xf numFmtId="39" fontId="0" fillId="0" borderId="23" xfId="0" applyNumberFormat="1" applyFont="1" applyBorder="1" applyAlignment="1" applyProtection="1">
      <alignment horizontal="center"/>
      <protection locked="0"/>
    </xf>
    <xf numFmtId="39" fontId="0" fillId="0" borderId="18" xfId="0" applyNumberFormat="1" applyFont="1" applyBorder="1" applyAlignment="1" applyProtection="1">
      <alignment horizontal="center"/>
      <protection locked="0"/>
    </xf>
    <xf numFmtId="39" fontId="0" fillId="0" borderId="19" xfId="0" applyNumberFormat="1" applyFont="1" applyBorder="1" applyAlignment="1" applyProtection="1">
      <alignment horizontal="center"/>
      <protection locked="0"/>
    </xf>
    <xf numFmtId="39" fontId="0" fillId="0" borderId="20" xfId="0" applyNumberFormat="1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left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center"/>
      <protection locked="0"/>
    </xf>
    <xf numFmtId="4" fontId="0" fillId="0" borderId="26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vertical="center" wrapText="1"/>
      <protection locked="0"/>
    </xf>
    <xf numFmtId="1" fontId="0" fillId="0" borderId="18" xfId="0" applyNumberFormat="1" applyFont="1" applyBorder="1" applyAlignment="1" applyProtection="1">
      <alignment horizontal="center" vertical="center" wrapText="1"/>
      <protection locked="0"/>
    </xf>
    <xf numFmtId="1" fontId="0" fillId="0" borderId="19" xfId="0" applyNumberFormat="1" applyFont="1" applyBorder="1" applyAlignment="1" applyProtection="1">
      <alignment horizontal="center" vertical="center" wrapText="1"/>
      <protection locked="0"/>
    </xf>
    <xf numFmtId="1" fontId="0" fillId="0" borderId="20" xfId="0" applyNumberFormat="1" applyFont="1" applyBorder="1" applyAlignment="1" applyProtection="1">
      <alignment horizontal="center"/>
      <protection locked="0"/>
    </xf>
    <xf numFmtId="0" fontId="22" fillId="24" borderId="0" xfId="0" applyFont="1" applyFill="1" applyAlignment="1">
      <alignment/>
    </xf>
    <xf numFmtId="0" fontId="18" fillId="24" borderId="0" xfId="0" applyFont="1" applyFill="1" applyAlignment="1" applyProtection="1">
      <alignment/>
      <protection/>
    </xf>
    <xf numFmtId="0" fontId="22" fillId="24" borderId="0" xfId="0" applyFont="1" applyFill="1" applyAlignment="1" applyProtection="1">
      <alignment/>
      <protection/>
    </xf>
    <xf numFmtId="0" fontId="22" fillId="24" borderId="0" xfId="0" applyFont="1" applyFill="1" applyAlignment="1" applyProtection="1">
      <alignment horizontal="right"/>
      <protection/>
    </xf>
    <xf numFmtId="39" fontId="18" fillId="24" borderId="0" xfId="0" applyNumberFormat="1" applyFont="1" applyFill="1" applyAlignment="1" applyProtection="1">
      <alignment horizontal="center"/>
      <protection/>
    </xf>
    <xf numFmtId="39" fontId="23" fillId="24" borderId="0" xfId="0" applyNumberFormat="1" applyFont="1" applyFill="1" applyAlignment="1" applyProtection="1">
      <alignment horizontal="right"/>
      <protection/>
    </xf>
    <xf numFmtId="0" fontId="19" fillId="0" borderId="27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39" fontId="18" fillId="24" borderId="0" xfId="0" applyNumberFormat="1" applyFont="1" applyFill="1" applyAlignment="1" applyProtection="1">
      <alignment/>
      <protection/>
    </xf>
    <xf numFmtId="39" fontId="0" fillId="0" borderId="29" xfId="0" applyNumberFormat="1" applyFont="1" applyBorder="1" applyAlignment="1" applyProtection="1">
      <alignment vertical="center" wrapText="1"/>
      <protection/>
    </xf>
    <xf numFmtId="4" fontId="0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vertical="center" wrapText="1"/>
      <protection/>
    </xf>
    <xf numFmtId="4" fontId="0" fillId="0" borderId="30" xfId="0" applyNumberFormat="1" applyFont="1" applyBorder="1" applyAlignment="1" applyProtection="1">
      <alignment horizontal="center" vertical="center" wrapText="1"/>
      <protection/>
    </xf>
    <xf numFmtId="4" fontId="0" fillId="16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wrapText="1"/>
      <protection/>
    </xf>
    <xf numFmtId="0" fontId="0" fillId="0" borderId="31" xfId="0" applyFont="1" applyBorder="1" applyAlignment="1" applyProtection="1">
      <alignment wrapText="1"/>
      <protection/>
    </xf>
    <xf numFmtId="4" fontId="0" fillId="0" borderId="29" xfId="0" applyNumberFormat="1" applyBorder="1" applyAlignment="1" applyProtection="1">
      <alignment horizontal="center" vertical="center" wrapText="1"/>
      <protection/>
    </xf>
    <xf numFmtId="4" fontId="0" fillId="16" borderId="29" xfId="0" applyNumberForma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 applyProtection="1">
      <alignment/>
      <protection/>
    </xf>
    <xf numFmtId="0" fontId="0" fillId="0" borderId="30" xfId="0" applyFont="1" applyFill="1" applyBorder="1" applyAlignment="1" applyProtection="1">
      <alignment vertical="center" wrapText="1"/>
      <protection/>
    </xf>
    <xf numFmtId="4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vertical="center" wrapText="1"/>
      <protection/>
    </xf>
    <xf numFmtId="39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vertical="center" wrapText="1"/>
      <protection/>
    </xf>
    <xf numFmtId="37" fontId="0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vertical="center" wrapText="1"/>
      <protection/>
    </xf>
    <xf numFmtId="37" fontId="0" fillId="0" borderId="31" xfId="0" applyNumberFormat="1" applyFont="1" applyBorder="1" applyAlignment="1" applyProtection="1">
      <alignment horizontal="center" vertical="center" wrapText="1"/>
      <protection/>
    </xf>
    <xf numFmtId="0" fontId="19" fillId="16" borderId="32" xfId="0" applyFont="1" applyFill="1" applyBorder="1" applyAlignment="1" applyProtection="1">
      <alignment horizontal="center" vertical="center" wrapText="1"/>
      <protection/>
    </xf>
    <xf numFmtId="39" fontId="0" fillId="0" borderId="30" xfId="0" applyNumberFormat="1" applyFont="1" applyBorder="1" applyAlignment="1" applyProtection="1">
      <alignment horizontal="center" vertical="center" wrapText="1"/>
      <protection/>
    </xf>
    <xf numFmtId="39" fontId="0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vertical="center" wrapText="1"/>
      <protection/>
    </xf>
    <xf numFmtId="0" fontId="19" fillId="16" borderId="10" xfId="0" applyFont="1" applyFill="1" applyBorder="1" applyAlignment="1" applyProtection="1">
      <alignment horizontal="center" vertical="center" wrapText="1"/>
      <protection/>
    </xf>
    <xf numFmtId="39" fontId="19" fillId="16" borderId="10" xfId="0" applyNumberFormat="1" applyFont="1" applyFill="1" applyBorder="1" applyAlignment="1" applyProtection="1">
      <alignment horizontal="center" vertical="center" wrapText="1"/>
      <protection/>
    </xf>
    <xf numFmtId="0" fontId="0" fillId="16" borderId="34" xfId="0" applyFont="1" applyFill="1" applyBorder="1" applyAlignment="1" applyProtection="1">
      <alignment horizontal="center" vertical="center" wrapText="1"/>
      <protection/>
    </xf>
    <xf numFmtId="39" fontId="0" fillId="16" borderId="34" xfId="0" applyNumberFormat="1" applyFont="1" applyFill="1" applyBorder="1" applyAlignment="1" applyProtection="1">
      <alignment horizontal="center" vertical="center" wrapText="1"/>
      <protection/>
    </xf>
    <xf numFmtId="39" fontId="0" fillId="16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vertical="center" wrapText="1"/>
      <protection/>
    </xf>
    <xf numFmtId="39" fontId="19" fillId="0" borderId="32" xfId="0" applyNumberFormat="1" applyFont="1" applyBorder="1" applyAlignment="1" applyProtection="1">
      <alignment horizontal="center" vertical="center" wrapText="1"/>
      <protection/>
    </xf>
    <xf numFmtId="0" fontId="0" fillId="24" borderId="0" xfId="0" applyFont="1" applyFill="1" applyAlignment="1" applyProtection="1">
      <alignment/>
      <protection/>
    </xf>
    <xf numFmtId="0" fontId="25" fillId="24" borderId="0" xfId="0" applyFont="1" applyFill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0" fillId="24" borderId="0" xfId="0" applyFill="1" applyAlignment="1">
      <alignment/>
    </xf>
    <xf numFmtId="39" fontId="0" fillId="0" borderId="36" xfId="0" applyNumberFormat="1" applyFont="1" applyBorder="1" applyAlignment="1" applyProtection="1">
      <alignment horizontal="center"/>
      <protection locked="0"/>
    </xf>
    <xf numFmtId="39" fontId="19" fillId="16" borderId="32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Font="1" applyBorder="1" applyAlignment="1" applyProtection="1">
      <alignment horizontal="center"/>
      <protection/>
    </xf>
    <xf numFmtId="0" fontId="19" fillId="16" borderId="37" xfId="0" applyFont="1" applyFill="1" applyBorder="1" applyAlignment="1" applyProtection="1">
      <alignment horizontal="center" vertical="center" wrapText="1"/>
      <protection/>
    </xf>
    <xf numFmtId="39" fontId="19" fillId="16" borderId="38" xfId="0" applyNumberFormat="1" applyFont="1" applyFill="1" applyBorder="1" applyAlignment="1" applyProtection="1">
      <alignment horizontal="center" vertical="center" wrapText="1"/>
      <protection/>
    </xf>
    <xf numFmtId="39" fontId="19" fillId="16" borderId="39" xfId="0" applyNumberFormat="1" applyFont="1" applyFill="1" applyBorder="1" applyAlignment="1" applyProtection="1">
      <alignment horizontal="center" vertical="center" wrapText="1"/>
      <protection/>
    </xf>
    <xf numFmtId="39" fontId="0" fillId="0" borderId="31" xfId="0" applyNumberFormat="1" applyFont="1" applyBorder="1" applyAlignment="1" applyProtection="1">
      <alignment horizontal="center" vertical="center" wrapText="1"/>
      <protection/>
    </xf>
    <xf numFmtId="39" fontId="0" fillId="0" borderId="33" xfId="0" applyNumberFormat="1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/>
      <protection/>
    </xf>
    <xf numFmtId="39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39" fontId="19" fillId="16" borderId="41" xfId="0" applyNumberFormat="1" applyFont="1" applyFill="1" applyBorder="1" applyAlignment="1" applyProtection="1">
      <alignment horizontal="center" vertical="center" wrapText="1"/>
      <protection/>
    </xf>
    <xf numFmtId="39" fontId="19" fillId="16" borderId="42" xfId="0" applyNumberFormat="1" applyFont="1" applyFill="1" applyBorder="1" applyAlignment="1" applyProtection="1">
      <alignment horizontal="center" vertical="center" wrapText="1"/>
      <protection/>
    </xf>
    <xf numFmtId="39" fontId="0" fillId="0" borderId="31" xfId="0" applyNumberFormat="1" applyFont="1" applyBorder="1" applyAlignment="1" applyProtection="1">
      <alignment horizontal="left" vertical="center" wrapText="1"/>
      <protection/>
    </xf>
    <xf numFmtId="0" fontId="29" fillId="24" borderId="0" xfId="0" applyFont="1" applyFill="1" applyAlignment="1">
      <alignment/>
    </xf>
    <xf numFmtId="39" fontId="0" fillId="25" borderId="14" xfId="0" applyNumberFormat="1" applyFont="1" applyFill="1" applyBorder="1" applyAlignment="1" applyProtection="1">
      <alignment horizontal="center"/>
      <protection locked="0"/>
    </xf>
    <xf numFmtId="199" fontId="18" fillId="24" borderId="0" xfId="0" applyNumberFormat="1" applyFont="1" applyFill="1" applyAlignment="1" applyProtection="1">
      <alignment/>
      <protection/>
    </xf>
    <xf numFmtId="0" fontId="26" fillId="0" borderId="43" xfId="0" applyFont="1" applyBorder="1" applyAlignment="1">
      <alignment/>
    </xf>
    <xf numFmtId="8" fontId="26" fillId="0" borderId="43" xfId="0" applyNumberFormat="1" applyFont="1" applyBorder="1" applyAlignment="1">
      <alignment/>
    </xf>
    <xf numFmtId="8" fontId="22" fillId="0" borderId="43" xfId="0" applyNumberFormat="1" applyFont="1" applyBorder="1" applyAlignment="1">
      <alignment/>
    </xf>
    <xf numFmtId="0" fontId="26" fillId="0" borderId="43" xfId="0" applyFont="1" applyBorder="1" applyAlignment="1">
      <alignment wrapText="1"/>
    </xf>
    <xf numFmtId="0" fontId="22" fillId="0" borderId="43" xfId="0" applyFont="1" applyBorder="1" applyAlignment="1">
      <alignment/>
    </xf>
    <xf numFmtId="0" fontId="22" fillId="0" borderId="43" xfId="0" applyFont="1" applyBorder="1" applyAlignment="1">
      <alignment wrapText="1"/>
    </xf>
    <xf numFmtId="4" fontId="0" fillId="25" borderId="44" xfId="0" applyNumberFormat="1" applyFont="1" applyFill="1" applyBorder="1" applyAlignment="1" applyProtection="1">
      <alignment horizontal="center"/>
      <protection locked="0"/>
    </xf>
    <xf numFmtId="4" fontId="0" fillId="25" borderId="45" xfId="0" applyNumberFormat="1" applyFont="1" applyFill="1" applyBorder="1" applyAlignment="1" applyProtection="1">
      <alignment horizontal="center"/>
      <protection locked="0"/>
    </xf>
    <xf numFmtId="4" fontId="0" fillId="25" borderId="46" xfId="0" applyNumberFormat="1" applyFont="1" applyFill="1" applyBorder="1" applyAlignment="1" applyProtection="1">
      <alignment horizontal="center"/>
      <protection locked="0"/>
    </xf>
    <xf numFmtId="4" fontId="0" fillId="25" borderId="14" xfId="0" applyNumberFormat="1" applyFont="1" applyFill="1" applyBorder="1" applyAlignment="1" applyProtection="1">
      <alignment horizontal="center"/>
      <protection locked="0"/>
    </xf>
    <xf numFmtId="4" fontId="0" fillId="25" borderId="16" xfId="0" applyNumberFormat="1" applyFont="1" applyFill="1" applyBorder="1" applyAlignment="1" applyProtection="1">
      <alignment horizontal="center"/>
      <protection locked="0"/>
    </xf>
    <xf numFmtId="4" fontId="0" fillId="25" borderId="43" xfId="0" applyNumberFormat="1" applyFont="1" applyFill="1" applyBorder="1" applyAlignment="1" applyProtection="1">
      <alignment horizontal="center"/>
      <protection locked="0"/>
    </xf>
    <xf numFmtId="0" fontId="19" fillId="24" borderId="47" xfId="0" applyFont="1" applyFill="1" applyBorder="1" applyAlignment="1" applyProtection="1">
      <alignment horizontal="justify"/>
      <protection/>
    </xf>
    <xf numFmtId="0" fontId="19" fillId="24" borderId="0" xfId="0" applyFont="1" applyFill="1" applyBorder="1" applyAlignment="1" applyProtection="1">
      <alignment horizontal="justify"/>
      <protection/>
    </xf>
    <xf numFmtId="0" fontId="19" fillId="24" borderId="48" xfId="0" applyFont="1" applyFill="1" applyBorder="1" applyAlignment="1" applyProtection="1">
      <alignment horizontal="justify"/>
      <protection/>
    </xf>
    <xf numFmtId="0" fontId="19" fillId="0" borderId="49" xfId="0" applyFont="1" applyBorder="1" applyAlignment="1" applyProtection="1">
      <alignment horizontal="center"/>
      <protection locked="0"/>
    </xf>
    <xf numFmtId="0" fontId="19" fillId="0" borderId="45" xfId="0" applyFont="1" applyBorder="1" applyAlignment="1" applyProtection="1">
      <alignment horizontal="center"/>
      <protection locked="0"/>
    </xf>
    <xf numFmtId="0" fontId="19" fillId="6" borderId="10" xfId="0" applyFont="1" applyFill="1" applyBorder="1" applyAlignment="1" applyProtection="1">
      <alignment horizontal="center" vertical="center" wrapText="1"/>
      <protection/>
    </xf>
    <xf numFmtId="0" fontId="19" fillId="24" borderId="47" xfId="0" applyFont="1" applyFill="1" applyBorder="1" applyAlignment="1" applyProtection="1">
      <alignment horizontal="justify" vertical="top"/>
      <protection/>
    </xf>
    <xf numFmtId="0" fontId="19" fillId="24" borderId="0" xfId="0" applyFont="1" applyFill="1" applyBorder="1" applyAlignment="1" applyProtection="1">
      <alignment horizontal="justify" vertical="top"/>
      <protection/>
    </xf>
    <xf numFmtId="0" fontId="19" fillId="24" borderId="48" xfId="0" applyFont="1" applyFill="1" applyBorder="1" applyAlignment="1" applyProtection="1">
      <alignment horizontal="justify" vertical="top"/>
      <protection/>
    </xf>
    <xf numFmtId="0" fontId="19" fillId="0" borderId="50" xfId="0" applyFont="1" applyBorder="1" applyAlignment="1" applyProtection="1">
      <alignment horizontal="center"/>
      <protection locked="0"/>
    </xf>
    <xf numFmtId="0" fontId="19" fillId="0" borderId="51" xfId="0" applyFont="1" applyBorder="1" applyAlignment="1" applyProtection="1">
      <alignment horizontal="center"/>
      <protection locked="0"/>
    </xf>
    <xf numFmtId="0" fontId="19" fillId="24" borderId="47" xfId="0" applyFont="1" applyFill="1" applyBorder="1" applyAlignment="1" applyProtection="1">
      <alignment horizontal="justify" wrapText="1"/>
      <protection/>
    </xf>
    <xf numFmtId="0" fontId="19" fillId="24" borderId="0" xfId="0" applyFont="1" applyFill="1" applyBorder="1" applyAlignment="1" applyProtection="1">
      <alignment horizontal="justify" wrapText="1"/>
      <protection/>
    </xf>
    <xf numFmtId="0" fontId="19" fillId="24" borderId="48" xfId="0" applyFont="1" applyFill="1" applyBorder="1" applyAlignment="1" applyProtection="1">
      <alignment horizontal="justify" wrapText="1"/>
      <protection/>
    </xf>
    <xf numFmtId="0" fontId="19" fillId="24" borderId="52" xfId="0" applyFont="1" applyFill="1" applyBorder="1" applyAlignment="1" applyProtection="1">
      <alignment horizontal="justify" wrapText="1"/>
      <protection/>
    </xf>
    <xf numFmtId="0" fontId="19" fillId="24" borderId="53" xfId="0" applyFont="1" applyFill="1" applyBorder="1" applyAlignment="1" applyProtection="1">
      <alignment horizontal="justify" wrapText="1"/>
      <protection/>
    </xf>
    <xf numFmtId="0" fontId="19" fillId="24" borderId="54" xfId="0" applyFont="1" applyFill="1" applyBorder="1" applyAlignment="1" applyProtection="1">
      <alignment horizontal="justify" wrapText="1"/>
      <protection/>
    </xf>
    <xf numFmtId="0" fontId="19" fillId="0" borderId="27" xfId="0" applyFont="1" applyBorder="1" applyAlignment="1" applyProtection="1">
      <alignment horizontal="center"/>
      <protection locked="0"/>
    </xf>
    <xf numFmtId="0" fontId="19" fillId="24" borderId="47" xfId="0" applyFont="1" applyFill="1" applyBorder="1" applyAlignment="1" applyProtection="1">
      <alignment horizontal="justify" wrapText="1"/>
      <protection hidden="1"/>
    </xf>
    <xf numFmtId="0" fontId="19" fillId="24" borderId="0" xfId="0" applyFont="1" applyFill="1" applyBorder="1" applyAlignment="1" applyProtection="1">
      <alignment horizontal="justify" wrapText="1"/>
      <protection hidden="1"/>
    </xf>
    <xf numFmtId="0" fontId="19" fillId="24" borderId="48" xfId="0" applyFont="1" applyFill="1" applyBorder="1" applyAlignment="1" applyProtection="1">
      <alignment horizontal="justify" wrapText="1"/>
      <protection hidden="1"/>
    </xf>
    <xf numFmtId="0" fontId="19" fillId="24" borderId="47" xfId="0" applyFont="1" applyFill="1" applyBorder="1" applyAlignment="1" applyProtection="1">
      <alignment horizontal="justify" vertical="top" wrapText="1"/>
      <protection/>
    </xf>
    <xf numFmtId="0" fontId="19" fillId="24" borderId="0" xfId="0" applyFont="1" applyFill="1" applyBorder="1" applyAlignment="1" applyProtection="1">
      <alignment horizontal="justify" vertical="top" wrapText="1"/>
      <protection/>
    </xf>
    <xf numFmtId="0" fontId="19" fillId="24" borderId="48" xfId="0" applyFont="1" applyFill="1" applyBorder="1" applyAlignment="1" applyProtection="1">
      <alignment horizontal="justify" vertical="top" wrapText="1"/>
      <protection/>
    </xf>
    <xf numFmtId="0" fontId="19" fillId="0" borderId="47" xfId="0" applyFont="1" applyFill="1" applyBorder="1" applyAlignment="1" applyProtection="1">
      <alignment horizontal="justify" vertical="top" wrapText="1"/>
      <protection/>
    </xf>
    <xf numFmtId="0" fontId="19" fillId="0" borderId="0" xfId="0" applyFont="1" applyFill="1" applyBorder="1" applyAlignment="1" applyProtection="1">
      <alignment horizontal="justify" vertical="top" wrapText="1"/>
      <protection/>
    </xf>
    <xf numFmtId="0" fontId="19" fillId="0" borderId="48" xfId="0" applyFont="1" applyFill="1" applyBorder="1" applyAlignment="1" applyProtection="1">
      <alignment horizontal="justify" vertical="top" wrapText="1"/>
      <protection/>
    </xf>
    <xf numFmtId="0" fontId="19" fillId="0" borderId="10" xfId="0" applyFont="1" applyBorder="1" applyAlignment="1" applyProtection="1">
      <alignment horizontal="center"/>
      <protection locked="0"/>
    </xf>
    <xf numFmtId="0" fontId="24" fillId="24" borderId="55" xfId="0" applyFont="1" applyFill="1" applyBorder="1" applyAlignment="1" applyProtection="1">
      <alignment horizontal="justify" wrapText="1"/>
      <protection/>
    </xf>
    <xf numFmtId="0" fontId="24" fillId="24" borderId="56" xfId="0" applyFont="1" applyFill="1" applyBorder="1" applyAlignment="1" applyProtection="1">
      <alignment horizontal="justify" wrapText="1"/>
      <protection/>
    </xf>
    <xf numFmtId="0" fontId="24" fillId="24" borderId="57" xfId="0" applyFont="1" applyFill="1" applyBorder="1" applyAlignment="1" applyProtection="1">
      <alignment horizontal="justify" wrapText="1"/>
      <protection/>
    </xf>
    <xf numFmtId="0" fontId="24" fillId="24" borderId="47" xfId="0" applyFont="1" applyFill="1" applyBorder="1" applyAlignment="1" applyProtection="1">
      <alignment horizontal="justify" wrapText="1"/>
      <protection/>
    </xf>
    <xf numFmtId="0" fontId="24" fillId="24" borderId="0" xfId="0" applyFont="1" applyFill="1" applyBorder="1" applyAlignment="1" applyProtection="1">
      <alignment horizontal="justify" wrapText="1"/>
      <protection/>
    </xf>
    <xf numFmtId="0" fontId="24" fillId="24" borderId="48" xfId="0" applyFont="1" applyFill="1" applyBorder="1" applyAlignment="1" applyProtection="1">
      <alignment horizontal="justify" wrapText="1"/>
      <protection/>
    </xf>
    <xf numFmtId="0" fontId="19" fillId="24" borderId="47" xfId="0" applyFont="1" applyFill="1" applyBorder="1" applyAlignment="1" applyProtection="1">
      <alignment horizontal="left" vertical="top"/>
      <protection/>
    </xf>
    <xf numFmtId="0" fontId="19" fillId="24" borderId="0" xfId="0" applyFont="1" applyFill="1" applyBorder="1" applyAlignment="1" applyProtection="1">
      <alignment horizontal="left" vertical="top"/>
      <protection/>
    </xf>
    <xf numFmtId="0" fontId="19" fillId="24" borderId="48" xfId="0" applyFont="1" applyFill="1" applyBorder="1" applyAlignment="1" applyProtection="1">
      <alignment horizontal="left" vertical="top"/>
      <protection/>
    </xf>
    <xf numFmtId="0" fontId="22" fillId="0" borderId="43" xfId="0" applyFont="1" applyBorder="1" applyAlignment="1">
      <alignment horizontal="center"/>
    </xf>
    <xf numFmtId="0" fontId="22" fillId="0" borderId="43" xfId="0" applyFont="1" applyBorder="1" applyAlignment="1">
      <alignment horizontal="center" vertical="center" wrapText="1"/>
    </xf>
    <xf numFmtId="0" fontId="0" fillId="25" borderId="58" xfId="0" applyFill="1" applyBorder="1" applyAlignment="1">
      <alignment horizontal="center"/>
    </xf>
    <xf numFmtId="0" fontId="0" fillId="25" borderId="59" xfId="0" applyFill="1" applyBorder="1" applyAlignment="1">
      <alignment horizontal="center"/>
    </xf>
    <xf numFmtId="0" fontId="0" fillId="25" borderId="60" xfId="0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1 1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4"/>
  <sheetViews>
    <sheetView zoomScalePageLayoutView="0" workbookViewId="0" topLeftCell="A52">
      <selection activeCell="L51" sqref="L51"/>
    </sheetView>
  </sheetViews>
  <sheetFormatPr defaultColWidth="11.421875" defaultRowHeight="12.75"/>
  <cols>
    <col min="1" max="1" width="2.140625" style="1" customWidth="1"/>
    <col min="2" max="2" width="62.28125" style="1" customWidth="1"/>
    <col min="3" max="5" width="14.28125" style="1" customWidth="1"/>
    <col min="6" max="7" width="11.421875" style="1" customWidth="1"/>
    <col min="8" max="16384" width="11.421875" style="1" customWidth="1"/>
  </cols>
  <sheetData>
    <row r="1" spans="2:7" ht="77.25" thickBot="1">
      <c r="B1" s="2" t="s">
        <v>0</v>
      </c>
      <c r="C1" s="2" t="s">
        <v>82</v>
      </c>
      <c r="D1" s="2" t="s">
        <v>83</v>
      </c>
      <c r="E1" s="2" t="s">
        <v>85</v>
      </c>
      <c r="F1" s="3" t="s">
        <v>94</v>
      </c>
      <c r="G1" s="3" t="s">
        <v>84</v>
      </c>
    </row>
    <row r="2" spans="2:7" ht="15.75" customHeight="1">
      <c r="B2" s="120" t="s">
        <v>1</v>
      </c>
      <c r="C2" s="121"/>
      <c r="D2" s="121"/>
      <c r="E2" s="121"/>
      <c r="F2" s="121"/>
      <c r="G2" s="121"/>
    </row>
    <row r="3" spans="2:7" ht="15.75" customHeight="1">
      <c r="B3" s="114" t="s">
        <v>81</v>
      </c>
      <c r="C3" s="115"/>
      <c r="D3" s="115"/>
      <c r="E3" s="115"/>
      <c r="F3" s="115"/>
      <c r="G3" s="115"/>
    </row>
    <row r="4" spans="2:7" ht="15.75" customHeight="1">
      <c r="B4" s="4" t="s">
        <v>2</v>
      </c>
      <c r="C4" s="5">
        <v>1888.29</v>
      </c>
      <c r="D4" s="6">
        <v>1888.29</v>
      </c>
      <c r="E4" s="6">
        <v>2264.96</v>
      </c>
      <c r="F4" s="7">
        <v>1888.29</v>
      </c>
      <c r="G4" s="7">
        <v>1888.29</v>
      </c>
    </row>
    <row r="5" spans="2:7" ht="15.75" customHeight="1">
      <c r="B5" s="4" t="s">
        <v>3</v>
      </c>
      <c r="C5" s="97">
        <f>(C4+C36)*0.1402</f>
        <v>344.1597354</v>
      </c>
      <c r="D5" s="8"/>
      <c r="E5" s="8"/>
      <c r="F5" s="9"/>
      <c r="G5" s="9"/>
    </row>
    <row r="6" spans="2:7" ht="15.75" customHeight="1">
      <c r="B6" s="10" t="s">
        <v>4</v>
      </c>
      <c r="C6" s="11"/>
      <c r="D6" s="11"/>
      <c r="E6" s="11"/>
      <c r="F6" s="12"/>
      <c r="G6" s="12"/>
    </row>
    <row r="7" spans="2:7" ht="15.75" customHeight="1">
      <c r="B7" s="13" t="s">
        <v>5</v>
      </c>
      <c r="C7" s="14"/>
      <c r="D7" s="14"/>
      <c r="E7" s="14"/>
      <c r="F7" s="9"/>
      <c r="G7" s="9"/>
    </row>
    <row r="8" spans="2:7" ht="15.75" customHeight="1">
      <c r="B8" s="10" t="s">
        <v>66</v>
      </c>
      <c r="C8" s="14">
        <v>30</v>
      </c>
      <c r="D8" s="14">
        <v>30</v>
      </c>
      <c r="E8" s="14">
        <v>30</v>
      </c>
      <c r="F8" s="15">
        <v>30</v>
      </c>
      <c r="G8" s="15">
        <v>30</v>
      </c>
    </row>
    <row r="9" spans="2:7" ht="15.75" customHeight="1">
      <c r="B9" s="10" t="s">
        <v>98</v>
      </c>
      <c r="C9" s="108">
        <f>(C31+C32+C36)/220*100/12/2</f>
        <v>53.01016544318182</v>
      </c>
      <c r="D9" s="108">
        <f>(D31+D36)/220*100/12/2</f>
        <v>46.49198863636364</v>
      </c>
      <c r="E9" s="108">
        <f>(E31+E36)/220*100/12/2</f>
        <v>55.7660606060606</v>
      </c>
      <c r="F9" s="109">
        <v>0</v>
      </c>
      <c r="G9" s="109">
        <v>0</v>
      </c>
    </row>
    <row r="10" spans="2:7" ht="15.75" customHeight="1">
      <c r="B10" s="4" t="s">
        <v>6</v>
      </c>
      <c r="C10" s="16">
        <v>2</v>
      </c>
      <c r="D10" s="17">
        <v>2</v>
      </c>
      <c r="E10" s="17">
        <v>2</v>
      </c>
      <c r="F10" s="18">
        <v>1</v>
      </c>
      <c r="G10" s="18">
        <v>1</v>
      </c>
    </row>
    <row r="11" spans="2:16" ht="15.75" customHeight="1" thickBot="1">
      <c r="B11" s="19" t="s">
        <v>7</v>
      </c>
      <c r="C11" s="20">
        <v>4</v>
      </c>
      <c r="D11" s="21">
        <v>4</v>
      </c>
      <c r="E11" s="21">
        <v>1</v>
      </c>
      <c r="F11" s="22">
        <v>9</v>
      </c>
      <c r="G11" s="22">
        <v>4</v>
      </c>
      <c r="J11" s="39"/>
      <c r="K11" s="39"/>
      <c r="L11" s="39"/>
      <c r="M11" s="39"/>
      <c r="N11" s="39"/>
      <c r="O11" s="39"/>
      <c r="P11" s="39"/>
    </row>
    <row r="12" spans="2:16" ht="15.75" customHeight="1" thickBot="1">
      <c r="B12" s="138" t="s">
        <v>76</v>
      </c>
      <c r="C12" s="138"/>
      <c r="D12" s="138"/>
      <c r="E12" s="138"/>
      <c r="F12" s="138"/>
      <c r="J12" s="39"/>
      <c r="K12" s="39"/>
      <c r="L12" s="39"/>
      <c r="M12" s="39"/>
      <c r="N12" s="39"/>
      <c r="O12" s="39"/>
      <c r="P12" s="39"/>
    </row>
    <row r="13" spans="2:16" ht="15.75" customHeight="1">
      <c r="B13" s="23" t="s">
        <v>8</v>
      </c>
      <c r="C13" s="105">
        <v>46.43</v>
      </c>
      <c r="D13" s="106">
        <v>46.43</v>
      </c>
      <c r="E13" s="106">
        <v>46.43</v>
      </c>
      <c r="F13" s="107">
        <v>46.43</v>
      </c>
      <c r="G13" s="110">
        <v>45.97</v>
      </c>
      <c r="J13" s="39"/>
      <c r="K13" s="39"/>
      <c r="L13" s="39"/>
      <c r="M13" s="39"/>
      <c r="N13" s="39"/>
      <c r="O13" s="39"/>
      <c r="P13" s="39"/>
    </row>
    <row r="14" spans="2:16" ht="15.75" customHeight="1">
      <c r="B14" s="4" t="s">
        <v>74</v>
      </c>
      <c r="C14" s="6">
        <v>8</v>
      </c>
      <c r="D14" s="5">
        <v>8</v>
      </c>
      <c r="E14" s="5">
        <v>8</v>
      </c>
      <c r="F14" s="24">
        <v>8</v>
      </c>
      <c r="G14" s="81">
        <v>8</v>
      </c>
      <c r="J14" s="39"/>
      <c r="K14" s="39"/>
      <c r="L14" s="39"/>
      <c r="M14" s="39"/>
      <c r="N14" s="39"/>
      <c r="O14" s="39"/>
      <c r="P14" s="39"/>
    </row>
    <row r="15" spans="2:16" ht="15.75" customHeight="1">
      <c r="B15" s="4" t="s">
        <v>9</v>
      </c>
      <c r="C15" s="6">
        <v>32</v>
      </c>
      <c r="D15" s="5">
        <v>32</v>
      </c>
      <c r="E15" s="5">
        <v>32</v>
      </c>
      <c r="F15" s="24">
        <v>32</v>
      </c>
      <c r="G15" s="24">
        <v>32</v>
      </c>
      <c r="J15" s="39"/>
      <c r="K15" s="39"/>
      <c r="L15" s="39"/>
      <c r="M15" s="39"/>
      <c r="N15" s="39"/>
      <c r="O15" s="39"/>
      <c r="P15" s="39"/>
    </row>
    <row r="16" spans="2:16" ht="15.75" customHeight="1">
      <c r="B16" s="4" t="s">
        <v>70</v>
      </c>
      <c r="C16" s="6">
        <v>150</v>
      </c>
      <c r="D16" s="5">
        <v>150</v>
      </c>
      <c r="E16" s="5">
        <v>150</v>
      </c>
      <c r="F16" s="24">
        <v>150</v>
      </c>
      <c r="G16" s="24">
        <v>150</v>
      </c>
      <c r="J16" s="39"/>
      <c r="K16" s="39"/>
      <c r="L16" s="39"/>
      <c r="M16" s="39"/>
      <c r="N16" s="39"/>
      <c r="O16" s="39"/>
      <c r="P16" s="39"/>
    </row>
    <row r="17" spans="2:16" ht="15.75" customHeight="1">
      <c r="B17" s="4" t="s">
        <v>10</v>
      </c>
      <c r="C17" s="6">
        <v>5.5</v>
      </c>
      <c r="D17" s="5">
        <v>5.5</v>
      </c>
      <c r="E17" s="5">
        <v>5.5</v>
      </c>
      <c r="F17" s="24">
        <v>5.5</v>
      </c>
      <c r="G17" s="24">
        <v>5.5</v>
      </c>
      <c r="J17" s="47"/>
      <c r="K17" s="47"/>
      <c r="L17" s="47"/>
      <c r="M17" s="47"/>
      <c r="N17" s="47"/>
      <c r="O17" s="47"/>
      <c r="P17" s="47"/>
    </row>
    <row r="18" spans="2:16" ht="15.75" customHeight="1">
      <c r="B18" s="25" t="s">
        <v>11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J18" s="39"/>
      <c r="K18" s="39"/>
      <c r="L18" s="39"/>
      <c r="M18" s="39"/>
      <c r="N18" s="39"/>
      <c r="O18" s="39"/>
      <c r="P18" s="39"/>
    </row>
    <row r="19" spans="2:7" ht="15.75" customHeight="1" thickBot="1">
      <c r="B19" s="19" t="s">
        <v>86</v>
      </c>
      <c r="C19" s="27">
        <v>14</v>
      </c>
      <c r="D19" s="28">
        <v>14</v>
      </c>
      <c r="E19" s="28">
        <v>14</v>
      </c>
      <c r="F19" s="29">
        <v>14</v>
      </c>
      <c r="G19" s="29">
        <v>14</v>
      </c>
    </row>
    <row r="20" spans="2:6" ht="15.75" customHeight="1" thickBot="1">
      <c r="B20" s="138" t="s">
        <v>12</v>
      </c>
      <c r="C20" s="138"/>
      <c r="D20" s="138"/>
      <c r="E20" s="138"/>
      <c r="F20" s="138"/>
    </row>
    <row r="21" spans="2:7" ht="15.75" customHeight="1" thickBot="1">
      <c r="B21" s="30" t="s">
        <v>13</v>
      </c>
      <c r="C21" s="31">
        <v>36</v>
      </c>
      <c r="D21" s="32">
        <v>36</v>
      </c>
      <c r="E21" s="32">
        <v>12</v>
      </c>
      <c r="F21" s="33">
        <v>12</v>
      </c>
      <c r="G21" s="33">
        <v>12</v>
      </c>
    </row>
    <row r="22" spans="2:6" ht="15.75" customHeight="1">
      <c r="B22" s="128" t="s">
        <v>14</v>
      </c>
      <c r="C22" s="128"/>
      <c r="D22" s="128"/>
      <c r="E22" s="128"/>
      <c r="F22" s="128"/>
    </row>
    <row r="23" spans="2:7" ht="15.75" customHeight="1" thickBot="1">
      <c r="B23" s="34" t="s">
        <v>72</v>
      </c>
      <c r="C23" s="35">
        <v>5</v>
      </c>
      <c r="D23" s="36">
        <v>5</v>
      </c>
      <c r="E23" s="36">
        <v>5</v>
      </c>
      <c r="F23" s="37">
        <v>5</v>
      </c>
      <c r="G23" s="37">
        <v>5</v>
      </c>
    </row>
    <row r="24" spans="2:16" ht="15.75" customHeight="1">
      <c r="B24" s="38"/>
      <c r="J24" s="39"/>
      <c r="K24" s="39"/>
      <c r="L24" s="39"/>
      <c r="M24" s="39"/>
      <c r="N24" s="39"/>
      <c r="O24" s="39"/>
      <c r="P24" s="39"/>
    </row>
    <row r="25" spans="2:3" s="39" customFormat="1" ht="15" customHeight="1">
      <c r="B25" s="40" t="s">
        <v>15</v>
      </c>
      <c r="C25" s="96" t="s">
        <v>45</v>
      </c>
    </row>
    <row r="26" spans="2:7" s="39" customFormat="1" ht="15" customHeight="1">
      <c r="B26" s="40" t="s">
        <v>16</v>
      </c>
      <c r="C26" s="96" t="s">
        <v>59</v>
      </c>
      <c r="F26" s="41" t="s">
        <v>17</v>
      </c>
      <c r="G26" s="41" t="s">
        <v>17</v>
      </c>
    </row>
    <row r="27" spans="2:7" s="39" customFormat="1" ht="2.25" customHeight="1" thickBot="1">
      <c r="B27" s="40" t="s">
        <v>18</v>
      </c>
      <c r="C27" s="42"/>
      <c r="D27" s="42"/>
      <c r="E27" s="42"/>
      <c r="F27" s="43"/>
      <c r="G27" s="43"/>
    </row>
    <row r="28" spans="2:16" s="39" customFormat="1" ht="18.75" customHeight="1" thickBot="1">
      <c r="B28" s="116" t="s">
        <v>19</v>
      </c>
      <c r="C28" s="116" t="s">
        <v>20</v>
      </c>
      <c r="D28" s="116" t="s">
        <v>21</v>
      </c>
      <c r="E28" s="116" t="s">
        <v>21</v>
      </c>
      <c r="F28" s="116" t="s">
        <v>22</v>
      </c>
      <c r="G28" s="116" t="s">
        <v>22</v>
      </c>
      <c r="J28" s="47"/>
      <c r="K28" s="47"/>
      <c r="L28" s="47"/>
      <c r="M28" s="47"/>
      <c r="N28" s="47"/>
      <c r="O28" s="47"/>
      <c r="P28" s="47"/>
    </row>
    <row r="29" spans="2:7" s="39" customFormat="1" ht="13.5" customHeight="1" thickBot="1">
      <c r="B29" s="116"/>
      <c r="C29" s="116"/>
      <c r="D29" s="116"/>
      <c r="E29" s="116"/>
      <c r="F29" s="116"/>
      <c r="G29" s="116"/>
    </row>
    <row r="30" spans="2:7" s="39" customFormat="1" ht="14.25" customHeight="1">
      <c r="B30" s="44" t="s">
        <v>73</v>
      </c>
      <c r="C30" s="45"/>
      <c r="D30" s="46"/>
      <c r="E30" s="46"/>
      <c r="F30" s="46"/>
      <c r="G30" s="46"/>
    </row>
    <row r="31" spans="2:16" s="47" customFormat="1" ht="15" customHeight="1">
      <c r="B31" s="48" t="s">
        <v>64</v>
      </c>
      <c r="C31" s="49">
        <f>$C$4</f>
        <v>1888.29</v>
      </c>
      <c r="D31" s="49">
        <f>$D$4</f>
        <v>1888.29</v>
      </c>
      <c r="E31" s="49">
        <f>$E$4</f>
        <v>2264.96</v>
      </c>
      <c r="F31" s="49">
        <f>$F$4</f>
        <v>1888.29</v>
      </c>
      <c r="G31" s="49">
        <f>$F$4</f>
        <v>1888.29</v>
      </c>
      <c r="J31" s="39"/>
      <c r="K31" s="39"/>
      <c r="L31" s="39"/>
      <c r="M31" s="39"/>
      <c r="N31" s="39"/>
      <c r="O31" s="39"/>
      <c r="P31" s="39"/>
    </row>
    <row r="32" spans="2:7" s="39" customFormat="1" ht="15" customHeight="1">
      <c r="B32" s="50" t="s">
        <v>23</v>
      </c>
      <c r="C32" s="51">
        <f>$C$5</f>
        <v>344.1597354</v>
      </c>
      <c r="D32" s="52"/>
      <c r="E32" s="52"/>
      <c r="F32" s="52"/>
      <c r="G32" s="52"/>
    </row>
    <row r="33" spans="2:7" s="39" customFormat="1" ht="15" customHeight="1">
      <c r="B33" s="53" t="s">
        <v>24</v>
      </c>
      <c r="C33" s="49">
        <f>C6</f>
        <v>0</v>
      </c>
      <c r="D33" s="49">
        <f>D6</f>
        <v>0</v>
      </c>
      <c r="E33" s="49">
        <f>E6</f>
        <v>0</v>
      </c>
      <c r="F33" s="49">
        <f>F6</f>
        <v>0</v>
      </c>
      <c r="G33" s="49">
        <f>G6</f>
        <v>0</v>
      </c>
    </row>
    <row r="34" spans="2:7" s="39" customFormat="1" ht="15" customHeight="1">
      <c r="B34" s="54" t="s">
        <v>25</v>
      </c>
      <c r="C34" s="55">
        <f>IF(C7&gt;0,(((C4/220)*(1+C7%))*15),0)</f>
        <v>0</v>
      </c>
      <c r="D34" s="55">
        <f>IF(D7&gt;0,(((D4/220)*(1+D7%))*15),0)</f>
        <v>0</v>
      </c>
      <c r="E34" s="55">
        <f>IF(E7&gt;0,(((E4/220)*(1+E7%))*15),0)</f>
        <v>0</v>
      </c>
      <c r="F34" s="56"/>
      <c r="G34" s="56"/>
    </row>
    <row r="35" spans="2:7" s="39" customFormat="1" ht="15" customHeight="1">
      <c r="B35" s="53" t="s">
        <v>26</v>
      </c>
      <c r="C35" s="49">
        <f>C9</f>
        <v>53.01016544318182</v>
      </c>
      <c r="D35" s="49">
        <f>D9</f>
        <v>46.49198863636364</v>
      </c>
      <c r="E35" s="49">
        <f>E9</f>
        <v>55.7660606060606</v>
      </c>
      <c r="F35" s="49">
        <f>F9</f>
        <v>0</v>
      </c>
      <c r="G35" s="49">
        <f>G9</f>
        <v>0</v>
      </c>
    </row>
    <row r="36" spans="2:7" s="39" customFormat="1" ht="15" customHeight="1">
      <c r="B36" s="58" t="s">
        <v>60</v>
      </c>
      <c r="C36" s="59">
        <f>C4*C8%</f>
        <v>566.487</v>
      </c>
      <c r="D36" s="59">
        <f>D4*D8%</f>
        <v>566.487</v>
      </c>
      <c r="E36" s="59">
        <f>E4*E8%</f>
        <v>679.4879999999999</v>
      </c>
      <c r="F36" s="59">
        <f>+F4*F8%</f>
        <v>566.487</v>
      </c>
      <c r="G36" s="59">
        <f>+G4*G8%</f>
        <v>566.487</v>
      </c>
    </row>
    <row r="37" spans="2:7" s="39" customFormat="1" ht="15" customHeight="1">
      <c r="B37" s="60" t="s">
        <v>27</v>
      </c>
      <c r="C37" s="61">
        <f>SUM(C31:C36)*0.7211</f>
        <v>2056.5389101980186</v>
      </c>
      <c r="D37" s="61">
        <f>SUM(D31:D36)*0.7211</f>
        <v>1803.6650677056818</v>
      </c>
      <c r="E37" s="61">
        <f>SUM(E31:E36)*0.7211</f>
        <v>2163.45435910303</v>
      </c>
      <c r="F37" s="61">
        <f>SUM(F31:F36)*0.7211</f>
        <v>1770.1396946999998</v>
      </c>
      <c r="G37" s="61">
        <f>SUM(G31:G36)*0.7211</f>
        <v>1770.1396946999998</v>
      </c>
    </row>
    <row r="38" spans="2:7" s="47" customFormat="1" ht="15" customHeight="1">
      <c r="B38" s="62" t="s">
        <v>28</v>
      </c>
      <c r="C38" s="63">
        <f>$C$10</f>
        <v>2</v>
      </c>
      <c r="D38" s="63">
        <f>D$10</f>
        <v>2</v>
      </c>
      <c r="E38" s="63">
        <f>E$10</f>
        <v>2</v>
      </c>
      <c r="F38" s="63">
        <f>F$10</f>
        <v>1</v>
      </c>
      <c r="G38" s="63">
        <f>G$10</f>
        <v>1</v>
      </c>
    </row>
    <row r="39" spans="2:7" s="39" customFormat="1" ht="15" customHeight="1" thickBot="1">
      <c r="B39" s="64" t="s">
        <v>7</v>
      </c>
      <c r="C39" s="65">
        <f>$C$11</f>
        <v>4</v>
      </c>
      <c r="D39" s="65">
        <f>D$11</f>
        <v>4</v>
      </c>
      <c r="E39" s="65">
        <f>E$11</f>
        <v>1</v>
      </c>
      <c r="F39" s="65">
        <v>8</v>
      </c>
      <c r="G39" s="65">
        <f>G$11</f>
        <v>4</v>
      </c>
    </row>
    <row r="40" spans="2:7" s="39" customFormat="1" ht="19.5" customHeight="1" thickBot="1">
      <c r="B40" s="84" t="s">
        <v>29</v>
      </c>
      <c r="C40" s="85">
        <f>SUM(C31:C37)*C38</f>
        <v>9816.971622082401</v>
      </c>
      <c r="D40" s="85">
        <f>SUM(D31:D37)*D38</f>
        <v>8609.868112684091</v>
      </c>
      <c r="E40" s="85">
        <f>SUM(E31:E37)*E38</f>
        <v>10327.336839418182</v>
      </c>
      <c r="F40" s="86">
        <f>SUM(F31:F37)*F38</f>
        <v>4224.916694699999</v>
      </c>
      <c r="G40" s="86">
        <f>SUM(G31:G37)*G38</f>
        <v>4224.916694699999</v>
      </c>
    </row>
    <row r="41" spans="2:7" s="39" customFormat="1" ht="15.75" customHeight="1">
      <c r="B41" s="83" t="s">
        <v>30</v>
      </c>
      <c r="C41" s="67"/>
      <c r="D41" s="67"/>
      <c r="E41" s="67"/>
      <c r="F41" s="67"/>
      <c r="G41" s="67"/>
    </row>
    <row r="42" spans="2:7" s="39" customFormat="1" ht="15" customHeight="1">
      <c r="B42" s="50" t="s">
        <v>31</v>
      </c>
      <c r="C42" s="67">
        <f>C10*C13</f>
        <v>92.86</v>
      </c>
      <c r="D42" s="67">
        <f>D10*D13</f>
        <v>92.86</v>
      </c>
      <c r="E42" s="67">
        <f>E10*E13</f>
        <v>92.86</v>
      </c>
      <c r="F42" s="67">
        <f>F10*F13</f>
        <v>46.43</v>
      </c>
      <c r="G42" s="67">
        <f>G10*G13</f>
        <v>45.97</v>
      </c>
    </row>
    <row r="43" spans="2:7" s="39" customFormat="1" ht="15" customHeight="1">
      <c r="B43" s="62" t="s">
        <v>75</v>
      </c>
      <c r="C43" s="68">
        <f>((C$14*15)-(0.06*C31))*C10</f>
        <v>13.405200000000008</v>
      </c>
      <c r="D43" s="68">
        <f>((D$14*15)-(0.06*D31))*D10</f>
        <v>13.405200000000008</v>
      </c>
      <c r="E43" s="68">
        <v>0</v>
      </c>
      <c r="F43" s="68">
        <f>(F$14*22)-(0.06*F31)</f>
        <v>62.702600000000004</v>
      </c>
      <c r="G43" s="68">
        <f>(G$14*22)-(0.06*G31)</f>
        <v>62.702600000000004</v>
      </c>
    </row>
    <row r="44" spans="2:7" s="39" customFormat="1" ht="15" customHeight="1">
      <c r="B44" s="62" t="s">
        <v>80</v>
      </c>
      <c r="C44" s="68">
        <f>$C$15*15*C10</f>
        <v>960</v>
      </c>
      <c r="D44" s="68">
        <f>$C$15*15*C10</f>
        <v>960</v>
      </c>
      <c r="E44" s="68">
        <f>$C$15*15*C10</f>
        <v>960</v>
      </c>
      <c r="F44" s="68">
        <f>$F$15*22</f>
        <v>704</v>
      </c>
      <c r="G44" s="68">
        <f>$F$15*22</f>
        <v>704</v>
      </c>
    </row>
    <row r="45" spans="2:7" s="39" customFormat="1" ht="15" customHeight="1">
      <c r="B45" s="62" t="s">
        <v>71</v>
      </c>
      <c r="C45" s="68">
        <f>C10*C16</f>
        <v>300</v>
      </c>
      <c r="D45" s="68">
        <f>D10*D16</f>
        <v>300</v>
      </c>
      <c r="E45" s="68">
        <f>E10*E16</f>
        <v>300</v>
      </c>
      <c r="F45" s="68">
        <f>F10*F16</f>
        <v>150</v>
      </c>
      <c r="G45" s="68">
        <f>G10*G16</f>
        <v>150</v>
      </c>
    </row>
    <row r="46" spans="2:7" s="39" customFormat="1" ht="15" customHeight="1">
      <c r="B46" s="62" t="s">
        <v>32</v>
      </c>
      <c r="C46" s="68">
        <f>C10*C17</f>
        <v>11</v>
      </c>
      <c r="D46" s="68">
        <f>D10*D17</f>
        <v>11</v>
      </c>
      <c r="E46" s="68">
        <f>E10*E17</f>
        <v>11</v>
      </c>
      <c r="F46" s="68">
        <f>F10*F17</f>
        <v>5.5</v>
      </c>
      <c r="G46" s="68">
        <f>G10*G17</f>
        <v>5.5</v>
      </c>
    </row>
    <row r="47" spans="2:7" s="39" customFormat="1" ht="15" customHeight="1">
      <c r="B47" s="62" t="s">
        <v>33</v>
      </c>
      <c r="C47" s="68">
        <f>((C18%*C4)*C10)/12</f>
        <v>0</v>
      </c>
      <c r="D47" s="68">
        <f>((D18%*D4)*D10)/12</f>
        <v>0</v>
      </c>
      <c r="E47" s="68">
        <f>((E18%*E4)*E10)/12</f>
        <v>0</v>
      </c>
      <c r="F47" s="68">
        <f>((F18%*F4)*F10)/12</f>
        <v>0</v>
      </c>
      <c r="G47" s="68">
        <f>((G18%*G4)*G10)/12</f>
        <v>0</v>
      </c>
    </row>
    <row r="48" spans="2:7" s="39" customFormat="1" ht="26.25" thickBot="1">
      <c r="B48" s="64" t="s">
        <v>87</v>
      </c>
      <c r="C48" s="87">
        <f>C10*C19</f>
        <v>28</v>
      </c>
      <c r="D48" s="87">
        <f>D10*D19</f>
        <v>28</v>
      </c>
      <c r="E48" s="87">
        <f>E10*E19</f>
        <v>28</v>
      </c>
      <c r="F48" s="87">
        <f>F10*F19</f>
        <v>14</v>
      </c>
      <c r="G48" s="87">
        <f>G10*G19</f>
        <v>14</v>
      </c>
    </row>
    <row r="49" spans="2:8" s="39" customFormat="1" ht="19.5" customHeight="1" thickBot="1">
      <c r="B49" s="84" t="s">
        <v>34</v>
      </c>
      <c r="C49" s="85">
        <f>SUM(C42:C48)</f>
        <v>1405.2652</v>
      </c>
      <c r="D49" s="85">
        <f>SUM(D42:D48)</f>
        <v>1405.2652</v>
      </c>
      <c r="E49" s="85">
        <f>SUM(E42:E48)</f>
        <v>1391.86</v>
      </c>
      <c r="F49" s="86">
        <f>SUM(F42:F48)</f>
        <v>982.6326</v>
      </c>
      <c r="G49" s="86">
        <f>SUM(G42:G48)</f>
        <v>982.1726</v>
      </c>
      <c r="H49" s="98"/>
    </row>
    <row r="50" spans="2:7" s="39" customFormat="1" ht="19.5" customHeight="1">
      <c r="B50" s="83" t="s">
        <v>35</v>
      </c>
      <c r="C50" s="67"/>
      <c r="D50" s="67"/>
      <c r="E50" s="67"/>
      <c r="F50" s="67"/>
      <c r="G50" s="67"/>
    </row>
    <row r="51" spans="2:7" s="39" customFormat="1" ht="19.5" customHeight="1" thickBot="1">
      <c r="B51" s="69" t="s">
        <v>36</v>
      </c>
      <c r="C51" s="88">
        <f>C10*C21</f>
        <v>72</v>
      </c>
      <c r="D51" s="88">
        <f>D10*D21</f>
        <v>72</v>
      </c>
      <c r="E51" s="88">
        <f>E10*E21</f>
        <v>24</v>
      </c>
      <c r="F51" s="88">
        <f>F10*F21</f>
        <v>12</v>
      </c>
      <c r="G51" s="88">
        <f>G10*G21</f>
        <v>12</v>
      </c>
    </row>
    <row r="52" spans="2:7" s="39" customFormat="1" ht="19.5" customHeight="1" thickBot="1">
      <c r="B52" s="84" t="s">
        <v>37</v>
      </c>
      <c r="C52" s="85">
        <f>+C51</f>
        <v>72</v>
      </c>
      <c r="D52" s="85">
        <f>+D51</f>
        <v>72</v>
      </c>
      <c r="E52" s="85">
        <f>+E51</f>
        <v>24</v>
      </c>
      <c r="F52" s="86">
        <f>+F51</f>
        <v>12</v>
      </c>
      <c r="G52" s="86">
        <f>+G51</f>
        <v>12</v>
      </c>
    </row>
    <row r="53" spans="2:7" s="39" customFormat="1" ht="19.5" customHeight="1">
      <c r="B53" s="83" t="s">
        <v>38</v>
      </c>
      <c r="C53" s="89"/>
      <c r="D53" s="89"/>
      <c r="E53" s="89"/>
      <c r="F53" s="89"/>
      <c r="G53" s="89"/>
    </row>
    <row r="54" spans="2:7" s="57" customFormat="1" ht="24" customHeight="1">
      <c r="B54" s="50" t="s">
        <v>39</v>
      </c>
      <c r="C54" s="61">
        <f>SUM(C40+C49+C52)*0.0612</f>
        <v>691.207293511443</v>
      </c>
      <c r="D54" s="61">
        <f>SUM(D40+D49+D52)*0.0612</f>
        <v>617.3325587362664</v>
      </c>
      <c r="E54" s="61">
        <f>SUM(E40+E49+E52)*0.0612</f>
        <v>718.6836465723928</v>
      </c>
      <c r="F54" s="61">
        <f>SUM(F40+F49+F52)*0.0612</f>
        <v>319.43641683564</v>
      </c>
      <c r="G54" s="61">
        <f>SUM(G40+G49+G52)*0.0612</f>
        <v>319.40826483563995</v>
      </c>
    </row>
    <row r="55" spans="2:7" s="57" customFormat="1" ht="24" customHeight="1" thickBot="1">
      <c r="B55" s="64" t="s">
        <v>40</v>
      </c>
      <c r="C55" s="90">
        <f>SUM(C40+C49+C52+C54)*0.072</f>
        <v>862.9519763227569</v>
      </c>
      <c r="D55" s="90">
        <f>SUM(D40+D49+D52+D54)*0.072</f>
        <v>770.7215427422659</v>
      </c>
      <c r="E55" s="90">
        <f>SUM(E40+E49+E52+E54)*0.072</f>
        <v>897.2553949913215</v>
      </c>
      <c r="F55" s="90">
        <f>SUM(F40+F49+F52+F54)*0.072</f>
        <v>398.80697123056603</v>
      </c>
      <c r="G55" s="90">
        <f>SUM(G40+G49+G52+G54)*0.072</f>
        <v>398.7718242865661</v>
      </c>
    </row>
    <row r="56" spans="2:7" s="57" customFormat="1" ht="19.5" customHeight="1" thickBot="1">
      <c r="B56" s="84" t="s">
        <v>41</v>
      </c>
      <c r="C56" s="93">
        <f>SUM(C54+C55)</f>
        <v>1554.1592698342</v>
      </c>
      <c r="D56" s="93">
        <f>SUM(D54+D55)</f>
        <v>1388.0541014785322</v>
      </c>
      <c r="E56" s="93">
        <f>SUM(E54+E55)</f>
        <v>1615.9390415637145</v>
      </c>
      <c r="F56" s="94">
        <f>SUM(F54+F55)</f>
        <v>718.2433880662061</v>
      </c>
      <c r="G56" s="94">
        <f>SUM(G54+G55)</f>
        <v>718.180089122206</v>
      </c>
    </row>
    <row r="57" spans="2:10" s="39" customFormat="1" ht="15" customHeight="1">
      <c r="B57" s="83" t="s">
        <v>42</v>
      </c>
      <c r="C57" s="91"/>
      <c r="D57" s="91"/>
      <c r="E57" s="91"/>
      <c r="F57" s="92"/>
      <c r="G57" s="92"/>
      <c r="J57" s="39" t="s">
        <v>96</v>
      </c>
    </row>
    <row r="58" spans="2:7" s="39" customFormat="1" ht="15" customHeight="1">
      <c r="B58" s="50" t="s">
        <v>43</v>
      </c>
      <c r="C58" s="67">
        <f>C64*0.0065</f>
        <v>91.42263229059431</v>
      </c>
      <c r="D58" s="67">
        <f>D64*0.0065</f>
        <v>81.65157984899514</v>
      </c>
      <c r="E58" s="67">
        <f>E64*0.0065</f>
        <v>95.05679608799379</v>
      </c>
      <c r="F58" s="67">
        <f>F64*0.0065</f>
        <v>42.25030370879073</v>
      </c>
      <c r="G58" s="67">
        <f>G64*0.0065</f>
        <v>42.24658018045357</v>
      </c>
    </row>
    <row r="59" spans="2:7" s="39" customFormat="1" ht="15" customHeight="1">
      <c r="B59" s="62" t="s">
        <v>44</v>
      </c>
      <c r="C59" s="68">
        <f>C64*0.03</f>
        <v>421.9506105719737</v>
      </c>
      <c r="D59" s="68">
        <f>D64*0.03</f>
        <v>376.8534454569006</v>
      </c>
      <c r="E59" s="68">
        <f>E64*0.03</f>
        <v>438.72367425227895</v>
      </c>
      <c r="F59" s="68">
        <f>F64*0.03</f>
        <v>195.00140173288028</v>
      </c>
      <c r="G59" s="68">
        <f>G64*0.03</f>
        <v>194.984216217478</v>
      </c>
    </row>
    <row r="60" spans="2:7" s="39" customFormat="1" ht="15" customHeight="1" thickBot="1">
      <c r="B60" s="95" t="str">
        <f>(C25&amp;C23&amp;C26)</f>
        <v>ISSQN - 5%</v>
      </c>
      <c r="C60" s="87">
        <f>C23%*C64</f>
        <v>703.2510176199562</v>
      </c>
      <c r="D60" s="87">
        <f>D23%*D64</f>
        <v>628.0890757615011</v>
      </c>
      <c r="E60" s="87">
        <f>E23%*E64</f>
        <v>731.2061237537984</v>
      </c>
      <c r="F60" s="87">
        <f>F23%*F64</f>
        <v>325.0023362214672</v>
      </c>
      <c r="G60" s="87">
        <f>G23%*G64</f>
        <v>324.9736936957967</v>
      </c>
    </row>
    <row r="61" spans="2:7" s="39" customFormat="1" ht="18" customHeight="1" thickBot="1">
      <c r="B61" s="84" t="s">
        <v>46</v>
      </c>
      <c r="C61" s="85">
        <f>SUM(C58:C60)</f>
        <v>1216.6242604825243</v>
      </c>
      <c r="D61" s="85">
        <f>SUM(D58:D60)</f>
        <v>1086.5941010673969</v>
      </c>
      <c r="E61" s="85">
        <f>SUM(E58:E60)</f>
        <v>1264.986594094071</v>
      </c>
      <c r="F61" s="86">
        <f>SUM(F58:F60)</f>
        <v>562.2540416631382</v>
      </c>
      <c r="G61" s="86">
        <f>SUM(G58:G60)</f>
        <v>562.2044900937283</v>
      </c>
    </row>
    <row r="62" spans="2:7" s="39" customFormat="1" ht="16.5" customHeight="1" thickBot="1">
      <c r="B62" s="66" t="s">
        <v>47</v>
      </c>
      <c r="C62" s="82">
        <f>SUM(C49,C52,C56,C61)</f>
        <v>4248.048730316725</v>
      </c>
      <c r="D62" s="82">
        <f>SUM(D49,D52,D56,D61)</f>
        <v>3951.913402545929</v>
      </c>
      <c r="E62" s="82">
        <f>SUM(E49,E52,E56,E61)</f>
        <v>4296.785635657785</v>
      </c>
      <c r="F62" s="82">
        <f>SUM(F49,F52,F56,F61)</f>
        <v>2275.130029729344</v>
      </c>
      <c r="G62" s="82">
        <f>SUM(G49,G52,G56,G61)</f>
        <v>2274.5571792159344</v>
      </c>
    </row>
    <row r="63" spans="2:7" s="39" customFormat="1" ht="12.75" customHeight="1" hidden="1">
      <c r="B63" s="72"/>
      <c r="C63" s="73"/>
      <c r="D63" s="73"/>
      <c r="E63" s="73"/>
      <c r="F63" s="74"/>
      <c r="G63" s="74"/>
    </row>
    <row r="64" spans="2:7" s="39" customFormat="1" ht="15" customHeight="1" thickBot="1">
      <c r="B64" s="75" t="s">
        <v>48</v>
      </c>
      <c r="C64" s="76">
        <f>SUM(C40,C49,C52,C56)/((100-(3.65+$C$23))/100)</f>
        <v>14065.020352399124</v>
      </c>
      <c r="D64" s="76">
        <f>SUM(D40,D49,D52,D56)/((100-(3.65+$C$23))/100)</f>
        <v>12561.78151523002</v>
      </c>
      <c r="E64" s="76">
        <f>SUM(E40,E49,E52,E56)/((100-(3.65+$C$23))/100)</f>
        <v>14624.122475075967</v>
      </c>
      <c r="F64" s="76">
        <f>SUM(F40,F49,F52,F56)/((100-(3.65+$C$23))/100)</f>
        <v>6500.046724429343</v>
      </c>
      <c r="G64" s="76">
        <f>SUM(G40,G49,G52,G56)/((100-(3.65+$C$23))/100)</f>
        <v>6499.473873915934</v>
      </c>
    </row>
    <row r="65" spans="2:7" s="39" customFormat="1" ht="19.5" customHeight="1" thickBot="1">
      <c r="B65" s="70" t="s">
        <v>49</v>
      </c>
      <c r="C65" s="71">
        <f>C39*C64</f>
        <v>56260.081409596496</v>
      </c>
      <c r="D65" s="71">
        <f>D39*D64</f>
        <v>50247.12606092008</v>
      </c>
      <c r="E65" s="71">
        <f>E39*E64</f>
        <v>14624.122475075967</v>
      </c>
      <c r="F65" s="71">
        <f>F39*F64</f>
        <v>52000.373795434745</v>
      </c>
      <c r="G65" s="71">
        <f>G39*G64</f>
        <v>25997.895495663735</v>
      </c>
    </row>
    <row r="66" spans="2:9" s="39" customFormat="1" ht="10.5" customHeight="1">
      <c r="B66" s="77"/>
      <c r="C66" s="77"/>
      <c r="D66" s="77"/>
      <c r="E66" s="77"/>
      <c r="F66" s="77"/>
      <c r="G66" s="77"/>
      <c r="I66" s="98">
        <f>SUM(C65+D65+E65+F65+G65)</f>
        <v>199129.59923669105</v>
      </c>
    </row>
    <row r="67" spans="2:6" s="39" customFormat="1" ht="10.5" customHeight="1">
      <c r="B67" s="139" t="s">
        <v>50</v>
      </c>
      <c r="C67" s="140"/>
      <c r="D67" s="140"/>
      <c r="E67" s="140"/>
      <c r="F67" s="141"/>
    </row>
    <row r="68" spans="2:6" s="39" customFormat="1" ht="18.75" customHeight="1">
      <c r="B68" s="142"/>
      <c r="C68" s="143"/>
      <c r="D68" s="143"/>
      <c r="E68" s="143"/>
      <c r="F68" s="144"/>
    </row>
    <row r="69" spans="2:6" s="78" customFormat="1" ht="19.5" customHeight="1">
      <c r="B69" s="111" t="s">
        <v>51</v>
      </c>
      <c r="C69" s="112"/>
      <c r="D69" s="112"/>
      <c r="E69" s="112"/>
      <c r="F69" s="113"/>
    </row>
    <row r="70" spans="2:6" s="78" customFormat="1" ht="19.5" customHeight="1">
      <c r="B70" s="122" t="s">
        <v>63</v>
      </c>
      <c r="C70" s="123"/>
      <c r="D70" s="123"/>
      <c r="E70" s="123"/>
      <c r="F70" s="124"/>
    </row>
    <row r="71" spans="2:6" s="78" customFormat="1" ht="12" customHeight="1">
      <c r="B71" s="122"/>
      <c r="C71" s="123"/>
      <c r="D71" s="123"/>
      <c r="E71" s="123"/>
      <c r="F71" s="124"/>
    </row>
    <row r="72" spans="2:6" s="78" customFormat="1" ht="12" customHeight="1">
      <c r="B72" s="122"/>
      <c r="C72" s="123"/>
      <c r="D72" s="123"/>
      <c r="E72" s="123"/>
      <c r="F72" s="124"/>
    </row>
    <row r="73" spans="2:6" s="78" customFormat="1" ht="14.25" customHeight="1">
      <c r="B73" s="122"/>
      <c r="C73" s="123"/>
      <c r="D73" s="123"/>
      <c r="E73" s="123"/>
      <c r="F73" s="124"/>
    </row>
    <row r="74" spans="2:6" s="78" customFormat="1" ht="3" customHeight="1">
      <c r="B74" s="129" t="s">
        <v>52</v>
      </c>
      <c r="C74" s="130"/>
      <c r="D74" s="130"/>
      <c r="E74" s="130"/>
      <c r="F74" s="131"/>
    </row>
    <row r="75" spans="2:6" s="78" customFormat="1" ht="27" customHeight="1">
      <c r="B75" s="129"/>
      <c r="C75" s="130"/>
      <c r="D75" s="130"/>
      <c r="E75" s="130"/>
      <c r="F75" s="131"/>
    </row>
    <row r="76" spans="2:6" s="78" customFormat="1" ht="17.25" customHeight="1">
      <c r="B76" s="145" t="s">
        <v>53</v>
      </c>
      <c r="C76" s="146"/>
      <c r="D76" s="146"/>
      <c r="E76" s="146"/>
      <c r="F76" s="147"/>
    </row>
    <row r="77" spans="2:6" s="78" customFormat="1" ht="14.25" customHeight="1">
      <c r="B77" s="132" t="s">
        <v>65</v>
      </c>
      <c r="C77" s="133"/>
      <c r="D77" s="133"/>
      <c r="E77" s="133"/>
      <c r="F77" s="134"/>
    </row>
    <row r="78" spans="2:6" s="78" customFormat="1" ht="16.5" customHeight="1">
      <c r="B78" s="132"/>
      <c r="C78" s="133"/>
      <c r="D78" s="133"/>
      <c r="E78" s="133"/>
      <c r="F78" s="134"/>
    </row>
    <row r="79" spans="2:6" s="78" customFormat="1" ht="14.25" customHeight="1">
      <c r="B79" s="135" t="s">
        <v>77</v>
      </c>
      <c r="C79" s="136"/>
      <c r="D79" s="136"/>
      <c r="E79" s="136"/>
      <c r="F79" s="137"/>
    </row>
    <row r="80" spans="2:6" s="78" customFormat="1" ht="14.25" customHeight="1">
      <c r="B80" s="135"/>
      <c r="C80" s="136"/>
      <c r="D80" s="136"/>
      <c r="E80" s="136"/>
      <c r="F80" s="137"/>
    </row>
    <row r="81" spans="2:6" s="78" customFormat="1" ht="13.5" customHeight="1">
      <c r="B81" s="117" t="s">
        <v>61</v>
      </c>
      <c r="C81" s="118"/>
      <c r="D81" s="118"/>
      <c r="E81" s="118"/>
      <c r="F81" s="119"/>
    </row>
    <row r="82" spans="2:6" s="78" customFormat="1" ht="18.75" customHeight="1">
      <c r="B82" s="111" t="s">
        <v>79</v>
      </c>
      <c r="C82" s="112"/>
      <c r="D82" s="112"/>
      <c r="E82" s="112"/>
      <c r="F82" s="113"/>
    </row>
    <row r="83" spans="2:6" s="78" customFormat="1" ht="19.5" customHeight="1">
      <c r="B83" s="111" t="s">
        <v>54</v>
      </c>
      <c r="C83" s="112"/>
      <c r="D83" s="112"/>
      <c r="E83" s="112"/>
      <c r="F83" s="113"/>
    </row>
    <row r="84" spans="2:6" s="78" customFormat="1" ht="19.5" customHeight="1">
      <c r="B84" s="111" t="s">
        <v>55</v>
      </c>
      <c r="C84" s="112"/>
      <c r="D84" s="112"/>
      <c r="E84" s="112"/>
      <c r="F84" s="113"/>
    </row>
    <row r="85" spans="2:6" s="78" customFormat="1" ht="19.5" customHeight="1">
      <c r="B85" s="111" t="s">
        <v>78</v>
      </c>
      <c r="C85" s="112"/>
      <c r="D85" s="112"/>
      <c r="E85" s="112"/>
      <c r="F85" s="113"/>
    </row>
    <row r="86" spans="2:6" s="78" customFormat="1" ht="19.5" customHeight="1">
      <c r="B86" s="111" t="s">
        <v>56</v>
      </c>
      <c r="C86" s="112"/>
      <c r="D86" s="112"/>
      <c r="E86" s="112"/>
      <c r="F86" s="113"/>
    </row>
    <row r="87" spans="2:6" s="78" customFormat="1" ht="19.5" customHeight="1">
      <c r="B87" s="111" t="s">
        <v>57</v>
      </c>
      <c r="C87" s="112"/>
      <c r="D87" s="112"/>
      <c r="E87" s="112"/>
      <c r="F87" s="113"/>
    </row>
    <row r="88" spans="2:6" s="78" customFormat="1" ht="19.5" customHeight="1">
      <c r="B88" s="111" t="s">
        <v>68</v>
      </c>
      <c r="C88" s="112"/>
      <c r="D88" s="112"/>
      <c r="E88" s="112"/>
      <c r="F88" s="113"/>
    </row>
    <row r="89" spans="2:6" s="78" customFormat="1" ht="19.5" customHeight="1">
      <c r="B89" s="111" t="s">
        <v>69</v>
      </c>
      <c r="C89" s="112"/>
      <c r="D89" s="112"/>
      <c r="E89" s="112"/>
      <c r="F89" s="113"/>
    </row>
    <row r="90" spans="2:6" s="78" customFormat="1" ht="19.5" customHeight="1">
      <c r="B90" s="111" t="s">
        <v>67</v>
      </c>
      <c r="C90" s="112"/>
      <c r="D90" s="112"/>
      <c r="E90" s="112"/>
      <c r="F90" s="113"/>
    </row>
    <row r="91" spans="2:6" s="78" customFormat="1" ht="19.5" customHeight="1">
      <c r="B91" s="111" t="s">
        <v>58</v>
      </c>
      <c r="C91" s="112"/>
      <c r="D91" s="112"/>
      <c r="E91" s="112"/>
      <c r="F91" s="113"/>
    </row>
    <row r="92" spans="2:6" s="79" customFormat="1" ht="12.75">
      <c r="B92" s="122" t="s">
        <v>62</v>
      </c>
      <c r="C92" s="123"/>
      <c r="D92" s="123"/>
      <c r="E92" s="123"/>
      <c r="F92" s="124"/>
    </row>
    <row r="93" spans="2:6" s="79" customFormat="1" ht="15" customHeight="1">
      <c r="B93" s="122"/>
      <c r="C93" s="123"/>
      <c r="D93" s="123"/>
      <c r="E93" s="123"/>
      <c r="F93" s="124"/>
    </row>
    <row r="94" spans="2:6" s="80" customFormat="1" ht="15" customHeight="1">
      <c r="B94" s="125"/>
      <c r="C94" s="126"/>
      <c r="D94" s="126"/>
      <c r="E94" s="126"/>
      <c r="F94" s="127"/>
    </row>
  </sheetData>
  <sheetProtection/>
  <mergeCells count="30">
    <mergeCell ref="B92:F94"/>
    <mergeCell ref="B22:F22"/>
    <mergeCell ref="B28:B29"/>
    <mergeCell ref="C28:C29"/>
    <mergeCell ref="D28:D29"/>
    <mergeCell ref="B84:F84"/>
    <mergeCell ref="B74:F75"/>
    <mergeCell ref="B77:F78"/>
    <mergeCell ref="B79:F80"/>
    <mergeCell ref="B69:F69"/>
    <mergeCell ref="B2:G2"/>
    <mergeCell ref="B91:F91"/>
    <mergeCell ref="B85:F85"/>
    <mergeCell ref="B86:F86"/>
    <mergeCell ref="B87:F87"/>
    <mergeCell ref="B88:F88"/>
    <mergeCell ref="B89:F89"/>
    <mergeCell ref="B83:F83"/>
    <mergeCell ref="B12:F12"/>
    <mergeCell ref="B20:F20"/>
    <mergeCell ref="B90:F90"/>
    <mergeCell ref="B82:F82"/>
    <mergeCell ref="B3:G3"/>
    <mergeCell ref="G28:G29"/>
    <mergeCell ref="B81:F81"/>
    <mergeCell ref="F28:F29"/>
    <mergeCell ref="B67:F68"/>
    <mergeCell ref="B76:F76"/>
    <mergeCell ref="E28:E29"/>
    <mergeCell ref="B70:F73"/>
  </mergeCells>
  <printOptions/>
  <pageMargins left="0.15748031496062992" right="0.15748031496062992" top="0.4724409448818898" bottom="0.4724409448818898" header="0.2362204724409449" footer="0.1968503937007874"/>
  <pageSetup horizontalDpi="600" verticalDpi="600" orientation="portrait" paperSize="9" scale="70" r:id="rId3"/>
  <headerFooter alignWithMargins="0">
    <oddHeader>&amp;C&amp;"Times New Roman,Normal"&amp;12&amp;A</oddHeader>
    <oddFooter>&amp;C&amp;"Times New Roman,Normal"&amp;12Página &amp;P</oddFooter>
  </headerFooter>
  <rowBreaks count="1" manualBreakCount="1">
    <brk id="6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24.421875" style="0" customWidth="1"/>
    <col min="2" max="2" width="18.28125" style="0" bestFit="1" customWidth="1"/>
    <col min="3" max="3" width="20.00390625" style="0" customWidth="1"/>
    <col min="4" max="4" width="21.8515625" style="0" bestFit="1" customWidth="1"/>
    <col min="5" max="5" width="18.00390625" style="0" customWidth="1"/>
    <col min="6" max="6" width="21.421875" style="0" customWidth="1"/>
  </cols>
  <sheetData>
    <row r="1" spans="1:6" ht="24" customHeight="1">
      <c r="A1" s="148" t="s">
        <v>88</v>
      </c>
      <c r="B1" s="148"/>
      <c r="C1" s="148"/>
      <c r="D1" s="148"/>
      <c r="E1" s="148"/>
      <c r="F1" s="148"/>
    </row>
    <row r="2" spans="1:6" ht="31.5">
      <c r="A2" s="103" t="s">
        <v>89</v>
      </c>
      <c r="B2" s="103" t="s">
        <v>95</v>
      </c>
      <c r="C2" s="104" t="s">
        <v>97</v>
      </c>
      <c r="D2" s="103" t="s">
        <v>90</v>
      </c>
      <c r="E2" s="104" t="s">
        <v>91</v>
      </c>
      <c r="F2" s="149" t="s">
        <v>92</v>
      </c>
    </row>
    <row r="3" spans="1:6" ht="28.5">
      <c r="A3" s="102" t="s">
        <v>82</v>
      </c>
      <c r="B3" s="99">
        <v>4</v>
      </c>
      <c r="C3" s="99">
        <v>2</v>
      </c>
      <c r="D3" s="100">
        <f>Vigilante!C64</f>
        <v>14065.020352399124</v>
      </c>
      <c r="E3" s="100">
        <f>B3*D3</f>
        <v>56260.081409596496</v>
      </c>
      <c r="F3" s="149"/>
    </row>
    <row r="4" spans="1:6" ht="28.5">
      <c r="A4" s="102" t="s">
        <v>83</v>
      </c>
      <c r="B4" s="99">
        <v>4</v>
      </c>
      <c r="C4" s="99">
        <v>2</v>
      </c>
      <c r="D4" s="100">
        <f>Vigilante!D64</f>
        <v>12561.78151523002</v>
      </c>
      <c r="E4" s="100">
        <f>D4*B4</f>
        <v>50247.12606092008</v>
      </c>
      <c r="F4" s="149"/>
    </row>
    <row r="5" spans="1:6" ht="14.25" customHeight="1">
      <c r="A5" s="102" t="s">
        <v>85</v>
      </c>
      <c r="B5" s="99">
        <v>1</v>
      </c>
      <c r="C5" s="99">
        <v>2</v>
      </c>
      <c r="D5" s="100">
        <f>Vigilante!E64</f>
        <v>14624.122475075967</v>
      </c>
      <c r="E5" s="100">
        <f>B5*D5</f>
        <v>14624.122475075967</v>
      </c>
      <c r="F5" s="149"/>
    </row>
    <row r="6" spans="1:6" ht="28.5">
      <c r="A6" s="102" t="s">
        <v>94</v>
      </c>
      <c r="B6" s="99">
        <v>8</v>
      </c>
      <c r="C6" s="99">
        <v>1</v>
      </c>
      <c r="D6" s="100">
        <f>Vigilante!F64</f>
        <v>6500.046724429343</v>
      </c>
      <c r="E6" s="100">
        <f>B6*D6</f>
        <v>52000.373795434745</v>
      </c>
      <c r="F6" s="149"/>
    </row>
    <row r="7" spans="1:6" ht="28.5">
      <c r="A7" s="102" t="s">
        <v>84</v>
      </c>
      <c r="B7" s="99">
        <v>4</v>
      </c>
      <c r="C7" s="99">
        <v>1</v>
      </c>
      <c r="D7" s="100">
        <f>Vigilante!G64</f>
        <v>6499.473873915934</v>
      </c>
      <c r="E7" s="100">
        <f>B7*D7</f>
        <v>25997.895495663735</v>
      </c>
      <c r="F7" s="149"/>
    </row>
    <row r="8" spans="1:6" ht="15.75">
      <c r="A8" s="148" t="s">
        <v>93</v>
      </c>
      <c r="B8" s="148"/>
      <c r="C8" s="148"/>
      <c r="D8" s="148"/>
      <c r="E8" s="101">
        <f>SUM(E3:E7)</f>
        <v>199129.59923669105</v>
      </c>
      <c r="F8" s="101">
        <f>E8*12</f>
        <v>2389555.1908402927</v>
      </c>
    </row>
    <row r="9" spans="1:6" ht="12.75">
      <c r="A9" s="150"/>
      <c r="B9" s="151"/>
      <c r="C9" s="151"/>
      <c r="D9" s="151"/>
      <c r="E9" s="151"/>
      <c r="F9" s="152"/>
    </row>
    <row r="10" spans="1:6" ht="12.75">
      <c r="A10" s="148" t="s">
        <v>99</v>
      </c>
      <c r="B10" s="148"/>
      <c r="C10" s="148"/>
      <c r="D10" s="148"/>
      <c r="E10" s="148"/>
      <c r="F10" s="148"/>
    </row>
    <row r="11" spans="1:6" ht="12.75">
      <c r="A11" s="148"/>
      <c r="B11" s="148"/>
      <c r="C11" s="148"/>
      <c r="D11" s="148"/>
      <c r="E11" s="148"/>
      <c r="F11" s="148"/>
    </row>
    <row r="12" spans="1:6" ht="12.75">
      <c r="A12" s="148"/>
      <c r="B12" s="148"/>
      <c r="C12" s="148"/>
      <c r="D12" s="148"/>
      <c r="E12" s="148"/>
      <c r="F12" s="148"/>
    </row>
  </sheetData>
  <sheetProtection/>
  <mergeCells count="5">
    <mergeCell ref="A1:F1"/>
    <mergeCell ref="A8:D8"/>
    <mergeCell ref="F2:F7"/>
    <mergeCell ref="A10:F12"/>
    <mergeCell ref="A9:F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Felipe Flores Da Silva</dc:creator>
  <cp:keywords/>
  <dc:description/>
  <cp:lastModifiedBy>Marciel Rubens da Silva</cp:lastModifiedBy>
  <cp:lastPrinted>2016-02-17T20:19:06Z</cp:lastPrinted>
  <dcterms:created xsi:type="dcterms:W3CDTF">2014-08-21T19:48:34Z</dcterms:created>
  <dcterms:modified xsi:type="dcterms:W3CDTF">2016-03-02T12:49:16Z</dcterms:modified>
  <cp:category/>
  <cp:version/>
  <cp:contentType/>
  <cp:contentStatus/>
</cp:coreProperties>
</file>