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W:\COAD\CPL_CONFIDENCIAL\EDITAIS DE LICITAÇÃO CNMP\2019\PREGÃO ELETRÔNICO 03 - 2019 -SERVIÇOS DE LIMPEZA, CONSERVAÇÃO, JARDINAGEM E HIGIENIZAÇÃO DE VEÍCULOS\"/>
    </mc:Choice>
  </mc:AlternateContent>
  <bookViews>
    <workbookView xWindow="0" yWindow="0" windowWidth="28800" windowHeight="12210" tabRatio="767" firstSheet="1" activeTab="1"/>
  </bookViews>
  <sheets>
    <sheet name="ENCARREGADOS" sheetId="7" r:id="rId1"/>
    <sheet name="SERVENTES" sheetId="2" r:id="rId2"/>
    <sheet name="Entrada de Dados" sheetId="16" r:id="rId3"/>
    <sheet name="Cálculo Produtividade IN05" sheetId="17" r:id="rId4"/>
    <sheet name="Cálculo qntd de postos" sheetId="18" r:id="rId5"/>
    <sheet name="Limite máximo para Contratação" sheetId="19" r:id="rId6"/>
    <sheet name="RESUMO" sheetId="15" r:id="rId7"/>
  </sheets>
  <definedNames>
    <definedName name="_xlnm.Print_Area" localSheetId="0">ENCARREGADOS!$B$1:$F$171</definedName>
    <definedName name="Excel_BuiltIn_Print_Area_1">#REF!</definedName>
    <definedName name="Excel_BuiltIn_Print_Area_2">#REF!</definedName>
  </definedNames>
  <calcPr calcId="171027" fullPrecision="0"/>
</workbook>
</file>

<file path=xl/calcChain.xml><?xml version="1.0" encoding="utf-8"?>
<calcChain xmlns="http://schemas.openxmlformats.org/spreadsheetml/2006/main">
  <c r="E14" i="19" l="1"/>
  <c r="F84" i="7"/>
  <c r="F86" i="7"/>
  <c r="D11" i="19" l="1"/>
  <c r="D10" i="19"/>
  <c r="D9" i="19"/>
  <c r="D8" i="19"/>
  <c r="D7" i="19"/>
  <c r="D6" i="19"/>
  <c r="D5" i="19"/>
  <c r="D4" i="19"/>
  <c r="D3" i="19"/>
  <c r="K10" i="18"/>
  <c r="E10" i="18"/>
  <c r="D10" i="18"/>
  <c r="C10" i="18"/>
  <c r="K9" i="18"/>
  <c r="D9" i="18"/>
  <c r="C9" i="18"/>
  <c r="E9" i="18" s="1"/>
  <c r="K8" i="18"/>
  <c r="D8" i="18"/>
  <c r="C8" i="18"/>
  <c r="E8" i="18" s="1"/>
  <c r="K7" i="18"/>
  <c r="D7" i="18"/>
  <c r="C7" i="18"/>
  <c r="E7" i="18" s="1"/>
  <c r="K6" i="18"/>
  <c r="D6" i="18"/>
  <c r="C6" i="18"/>
  <c r="E6" i="18" s="1"/>
  <c r="D5" i="18"/>
  <c r="J5" i="18" s="1"/>
  <c r="K5" i="18" s="1"/>
  <c r="C5" i="18"/>
  <c r="E5" i="18" s="1"/>
  <c r="K4" i="18"/>
  <c r="D4" i="18"/>
  <c r="E4" i="18" s="1"/>
  <c r="C4" i="18"/>
  <c r="K3" i="18"/>
  <c r="D3" i="18"/>
  <c r="C3" i="18"/>
  <c r="E3" i="18" s="1"/>
  <c r="K2" i="18"/>
  <c r="D2" i="18"/>
  <c r="E2" i="18" s="1"/>
  <c r="C2" i="18"/>
  <c r="F28" i="17"/>
  <c r="D28" i="17"/>
  <c r="G28" i="17" s="1"/>
  <c r="F27" i="17"/>
  <c r="D27" i="17"/>
  <c r="G27" i="17" s="1"/>
  <c r="D23" i="17"/>
  <c r="D22" i="17"/>
  <c r="D20" i="17"/>
  <c r="D19" i="17"/>
  <c r="D17" i="17"/>
  <c r="D16" i="17"/>
  <c r="D12" i="17"/>
  <c r="D11" i="17"/>
  <c r="D9" i="17"/>
  <c r="D8" i="17"/>
  <c r="D6" i="17"/>
  <c r="D5" i="17"/>
  <c r="D3" i="17"/>
  <c r="D2" i="17"/>
  <c r="K11" i="18" l="1"/>
  <c r="E11" i="18"/>
  <c r="C36" i="2" l="1"/>
  <c r="E130" i="7" l="1"/>
  <c r="E126" i="7"/>
  <c r="E129" i="7"/>
  <c r="E128" i="7"/>
  <c r="E127" i="7"/>
  <c r="E134" i="2"/>
  <c r="E133" i="2"/>
  <c r="E130" i="2"/>
  <c r="E131" i="2"/>
  <c r="E132" i="2"/>
  <c r="C35" i="2"/>
  <c r="F89" i="2"/>
  <c r="F88" i="2"/>
  <c r="E129" i="2" l="1"/>
  <c r="F120" i="2"/>
  <c r="C122" i="2" l="1"/>
  <c r="C112" i="2"/>
  <c r="C87" i="2"/>
  <c r="C59" i="2"/>
  <c r="C119" i="7"/>
  <c r="C110" i="7"/>
  <c r="C85" i="7"/>
  <c r="C59" i="7"/>
  <c r="F57" i="2"/>
  <c r="F58" i="2"/>
  <c r="F59" i="2"/>
  <c r="E65" i="2"/>
  <c r="E66" i="2"/>
  <c r="E81" i="2"/>
  <c r="E68" i="2" s="1"/>
  <c r="E69" i="2" s="1"/>
  <c r="F154" i="2" s="1"/>
  <c r="E67" i="2"/>
  <c r="F85" i="2"/>
  <c r="F86" i="2"/>
  <c r="F87" i="2"/>
  <c r="E94" i="2"/>
  <c r="E95" i="2" s="1"/>
  <c r="E96" i="2"/>
  <c r="E97" i="2"/>
  <c r="E98" i="2" s="1"/>
  <c r="E107" i="2"/>
  <c r="E108" i="2"/>
  <c r="E109" i="2"/>
  <c r="E113" i="2" s="1"/>
  <c r="E110" i="2"/>
  <c r="E111" i="2"/>
  <c r="E112" i="2"/>
  <c r="F119" i="2"/>
  <c r="F121" i="2"/>
  <c r="F122" i="2"/>
  <c r="E127" i="2"/>
  <c r="E128" i="2"/>
  <c r="E125" i="7"/>
  <c r="E124" i="7"/>
  <c r="F57" i="7"/>
  <c r="F58" i="7"/>
  <c r="F60" i="7" s="1"/>
  <c r="F68" i="7" s="1"/>
  <c r="F59" i="7"/>
  <c r="E65" i="7"/>
  <c r="E66" i="7"/>
  <c r="E80" i="7"/>
  <c r="E67" i="7"/>
  <c r="E68" i="7"/>
  <c r="F83" i="7"/>
  <c r="F85" i="7"/>
  <c r="E92" i="7"/>
  <c r="E93" i="7"/>
  <c r="E94" i="7"/>
  <c r="E95" i="7"/>
  <c r="E96" i="7"/>
  <c r="E97" i="7"/>
  <c r="E98" i="7"/>
  <c r="E99" i="7"/>
  <c r="E105" i="7"/>
  <c r="E106" i="7"/>
  <c r="E107" i="7"/>
  <c r="E108" i="7"/>
  <c r="E109" i="7"/>
  <c r="E110" i="7"/>
  <c r="E111" i="7"/>
  <c r="E112" i="7"/>
  <c r="F117" i="7"/>
  <c r="F118" i="7"/>
  <c r="F119" i="7"/>
  <c r="I15" i="2"/>
  <c r="J15" i="2"/>
  <c r="K15" i="2"/>
  <c r="L10" i="2"/>
  <c r="L11" i="2"/>
  <c r="L12" i="2"/>
  <c r="L13" i="2"/>
  <c r="L14" i="2"/>
  <c r="F154" i="7"/>
  <c r="F155" i="2"/>
  <c r="E69" i="7"/>
  <c r="F153" i="7"/>
  <c r="E100" i="7"/>
  <c r="F155" i="7"/>
  <c r="E113" i="7"/>
  <c r="F156" i="7"/>
  <c r="F157" i="7"/>
  <c r="F88" i="7" l="1"/>
  <c r="F90" i="2"/>
  <c r="F60" i="2"/>
  <c r="F96" i="2" s="1"/>
  <c r="E131" i="7"/>
  <c r="E132" i="7" s="1"/>
  <c r="F120" i="7"/>
  <c r="F142" i="7" s="1"/>
  <c r="F112" i="7"/>
  <c r="F108" i="7"/>
  <c r="F95" i="7"/>
  <c r="F107" i="7"/>
  <c r="F75" i="7"/>
  <c r="F94" i="7"/>
  <c r="F74" i="7"/>
  <c r="F110" i="7"/>
  <c r="F106" i="7"/>
  <c r="F109" i="7"/>
  <c r="F105" i="7"/>
  <c r="F79" i="7"/>
  <c r="F65" i="7"/>
  <c r="F77" i="7"/>
  <c r="F99" i="7"/>
  <c r="F76" i="7"/>
  <c r="F73" i="7"/>
  <c r="F66" i="7"/>
  <c r="F138" i="7"/>
  <c r="F97" i="7"/>
  <c r="F93" i="7"/>
  <c r="F72" i="7"/>
  <c r="F96" i="7"/>
  <c r="F92" i="7"/>
  <c r="F78" i="7"/>
  <c r="E135" i="2"/>
  <c r="E114" i="2"/>
  <c r="E115" i="2" s="1"/>
  <c r="F157" i="2" s="1"/>
  <c r="E100" i="2"/>
  <c r="E99" i="2"/>
  <c r="F123" i="2"/>
  <c r="F144" i="2" s="1"/>
  <c r="L15" i="2"/>
  <c r="F68" i="2" l="1"/>
  <c r="F73" i="2"/>
  <c r="F99" i="2"/>
  <c r="F77" i="2"/>
  <c r="F98" i="2"/>
  <c r="F74" i="2"/>
  <c r="F97" i="2"/>
  <c r="F65" i="2"/>
  <c r="F140" i="2"/>
  <c r="F78" i="2"/>
  <c r="F95" i="2"/>
  <c r="F66" i="2"/>
  <c r="F108" i="2"/>
  <c r="F79" i="2"/>
  <c r="F76" i="2"/>
  <c r="F94" i="2"/>
  <c r="F109" i="2"/>
  <c r="F80" i="2"/>
  <c r="F107" i="2"/>
  <c r="F112" i="2"/>
  <c r="F110" i="2"/>
  <c r="F111" i="2"/>
  <c r="F75" i="2"/>
  <c r="F98" i="7"/>
  <c r="F100" i="7" s="1"/>
  <c r="F140" i="7" s="1"/>
  <c r="F67" i="7"/>
  <c r="F69" i="7" s="1"/>
  <c r="F139" i="7" s="1"/>
  <c r="F80" i="7"/>
  <c r="F111" i="7"/>
  <c r="F113" i="7" s="1"/>
  <c r="F141" i="7" s="1"/>
  <c r="F114" i="2"/>
  <c r="E101" i="2"/>
  <c r="F101" i="2" s="1"/>
  <c r="F100" i="2" l="1"/>
  <c r="F102" i="2" s="1"/>
  <c r="F142" i="2" s="1"/>
  <c r="F67" i="2"/>
  <c r="F69" i="2" s="1"/>
  <c r="F113" i="2"/>
  <c r="F81" i="2"/>
  <c r="F124" i="7"/>
  <c r="F115" i="2"/>
  <c r="F143" i="2" s="1"/>
  <c r="E102" i="2"/>
  <c r="F156" i="2" s="1"/>
  <c r="F158" i="2" s="1"/>
  <c r="F141" i="2" l="1"/>
  <c r="F125" i="7"/>
  <c r="F127" i="7" s="1"/>
  <c r="F127" i="2"/>
  <c r="F143" i="7" l="1"/>
  <c r="F144" i="7" s="1"/>
  <c r="F128" i="7"/>
  <c r="F129" i="7"/>
  <c r="F128" i="2"/>
  <c r="F130" i="2" s="1"/>
  <c r="F126" i="7" l="1"/>
  <c r="F145" i="7" s="1"/>
  <c r="F131" i="2"/>
  <c r="F145" i="2"/>
  <c r="F146" i="2" s="1"/>
  <c r="F132" i="2"/>
  <c r="F130" i="7" l="1"/>
  <c r="F131" i="7" s="1"/>
  <c r="F146" i="7" s="1"/>
  <c r="F147" i="7" s="1"/>
  <c r="B20" i="16" s="1"/>
  <c r="E23" i="17" s="1"/>
  <c r="F23" i="17" s="1"/>
  <c r="F129" i="2"/>
  <c r="F133" i="2" s="1"/>
  <c r="E9" i="17" l="1"/>
  <c r="F9" i="17" s="1"/>
  <c r="E12" i="17"/>
  <c r="F12" i="17" s="1"/>
  <c r="E6" i="17"/>
  <c r="F6" i="17" s="1"/>
  <c r="E20" i="17"/>
  <c r="F20" i="17" s="1"/>
  <c r="E3" i="17"/>
  <c r="F3" i="17" s="1"/>
  <c r="E17" i="17"/>
  <c r="F17" i="17" s="1"/>
  <c r="H28" i="17"/>
  <c r="I28" i="17" s="1"/>
  <c r="F132" i="7"/>
  <c r="F134" i="2"/>
  <c r="F148" i="2" s="1"/>
  <c r="F147" i="2"/>
  <c r="F135" i="2" l="1"/>
  <c r="F149" i="2"/>
  <c r="B19" i="16" l="1"/>
  <c r="C5" i="15"/>
  <c r="H27" i="17" l="1"/>
  <c r="I27" i="17" s="1"/>
  <c r="I29" i="17" s="1"/>
  <c r="E8" i="17"/>
  <c r="F8" i="17" s="1"/>
  <c r="F10" i="17" s="1"/>
  <c r="C5" i="19" s="1"/>
  <c r="E5" i="19" s="1"/>
  <c r="E19" i="17"/>
  <c r="F19" i="17" s="1"/>
  <c r="F21" i="17" s="1"/>
  <c r="C9" i="19" s="1"/>
  <c r="E9" i="19" s="1"/>
  <c r="E5" i="17"/>
  <c r="F5" i="17" s="1"/>
  <c r="F7" i="17" s="1"/>
  <c r="C4" i="19" s="1"/>
  <c r="E4" i="19" s="1"/>
  <c r="E22" i="17"/>
  <c r="F22" i="17" s="1"/>
  <c r="F24" i="17" s="1"/>
  <c r="C8" i="19" s="1"/>
  <c r="E8" i="19" s="1"/>
  <c r="E16" i="17"/>
  <c r="F16" i="17" s="1"/>
  <c r="F18" i="17" s="1"/>
  <c r="C7" i="19" s="1"/>
  <c r="E7" i="19" s="1"/>
  <c r="E11" i="17"/>
  <c r="F11" i="17" s="1"/>
  <c r="F13" i="17" s="1"/>
  <c r="C6" i="19" s="1"/>
  <c r="E6" i="19" s="1"/>
  <c r="E2" i="17"/>
  <c r="F2" i="17" s="1"/>
  <c r="F4" i="17" s="1"/>
  <c r="C3" i="19" s="1"/>
  <c r="E3" i="19" s="1"/>
  <c r="C10" i="19" l="1"/>
  <c r="E10" i="19" s="1"/>
  <c r="C11" i="19"/>
  <c r="E11" i="19" s="1"/>
  <c r="E13" i="19" l="1"/>
  <c r="E5" i="15" s="1"/>
  <c r="F5" i="15" l="1"/>
</calcChain>
</file>

<file path=xl/sharedStrings.xml><?xml version="1.0" encoding="utf-8"?>
<sst xmlns="http://schemas.openxmlformats.org/spreadsheetml/2006/main" count="722" uniqueCount="255">
  <si>
    <t>RAMO:</t>
  </si>
  <si>
    <t>UNIDADE:</t>
  </si>
  <si>
    <t>DATA: DD/MM/AAAA</t>
  </si>
  <si>
    <t>CUSTOS REFERENTES A ENCARREGADOS</t>
  </si>
  <si>
    <t>Dados referentes à licitação</t>
  </si>
  <si>
    <t>Nº do Processo (X.XX.XXX.XXXXXX/XXXX-XX)</t>
  </si>
  <si>
    <t>Modalidade de Licitação nº (XX/AAAA)</t>
  </si>
  <si>
    <t>Pregão nº</t>
  </si>
  <si>
    <t>XX/20XX</t>
  </si>
  <si>
    <t>DISCRIMINAÇÃO DOS SERVIÇOS (DADOS REFERENTES À CONTRATAÇÃO)</t>
  </si>
  <si>
    <t>A</t>
  </si>
  <si>
    <t>Data de Apresentação da Proposta (DD/MM/AAAA)</t>
  </si>
  <si>
    <t>DD/MM/AAAA</t>
  </si>
  <si>
    <t>B</t>
  </si>
  <si>
    <t>Local de Execução (Sede, Anexo I ou II, PTM, PRM)</t>
  </si>
  <si>
    <t>C</t>
  </si>
  <si>
    <t>Acordo, Conv. ou Sentença Normativa em Dissídio Coletivo (MM/AAAA)</t>
  </si>
  <si>
    <t>D</t>
  </si>
  <si>
    <t>Número de Meses de Execução Contratual</t>
  </si>
  <si>
    <t>E</t>
  </si>
  <si>
    <t>Quantidade de Postos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</si>
  <si>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</si>
  <si>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</si>
  <si>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</si>
  <si>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</si>
  <si>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</si>
  <si>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</si>
  <si>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</si>
  <si>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</si>
  <si>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Insalubridade (em %)</t>
  </si>
  <si>
    <t>Salário Mínimo Vigente no País (em R$)</t>
  </si>
  <si>
    <t>Outros (Especificar)</t>
  </si>
  <si>
    <t>Benefícios Diários e Mensais por Empregado</t>
  </si>
  <si>
    <t>Frequência</t>
  </si>
  <si>
    <t>Valor (R$)</t>
  </si>
  <si>
    <t>Transporte</t>
  </si>
  <si>
    <t>Diária</t>
  </si>
  <si>
    <t>Auxílio-Refeição/Alimentação</t>
  </si>
  <si>
    <t>Insumos Diversos</t>
  </si>
  <si>
    <t>Uniformes</t>
  </si>
  <si>
    <t>Materiais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</si>
  <si>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</si>
  <si>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</si>
  <si>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</si>
  <si>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</si>
  <si>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</si>
  <si>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</si>
  <si>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</si>
  <si>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</si>
  <si>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</si>
  <si>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MÓDULO 1: COMPOSIÇÃO DA REMUNERAÇÃO</t>
  </si>
  <si>
    <t>Salário-Base</t>
  </si>
  <si>
    <t>Adicional de Insalubridade</t>
  </si>
  <si>
    <t>TOTAL</t>
  </si>
  <si>
    <t>MÓDULO 2: ENCARGOS E BENEFÍCIOS ANUAIS, MENSAIS E DIÁRIOS</t>
  </si>
  <si>
    <t>Submódulo 2.1 - 13º (décimo terceiro) Salário e Adicional de Férias</t>
  </si>
  <si>
    <t>2.1</t>
  </si>
  <si>
    <t>13º Salário e Adicional de Férias</t>
  </si>
  <si>
    <t>13º Salário</t>
  </si>
  <si>
    <t>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</si>
  <si>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</si>
  <si>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</si>
  <si>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</si>
  <si>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</si>
  <si>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</si>
  <si>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</si>
  <si>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</si>
  <si>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</si>
  <si>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</si>
  <si>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</si>
  <si>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F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</si>
  <si>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</si>
  <si>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</si>
  <si>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</si>
  <si>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</si>
  <si>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</si>
  <si>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</si>
  <si>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</si>
  <si>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</si>
  <si>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</si>
  <si>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</si>
  <si>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</si>
  <si>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</si>
  <si>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</si>
  <si>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</si>
  <si>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</si>
  <si>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</si>
  <si>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</si>
  <si>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</si>
  <si>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</si>
  <si>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</si>
  <si>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</si>
  <si>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</si>
  <si>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</si>
  <si>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</si>
  <si>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</si>
  <si>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MÓDULO 5: INSUMOS DIVERSOS</t>
  </si>
  <si>
    <t>MÓDULO 6: CUSTOS INDIRETOS, TRIBUTOS E LUCRO</t>
  </si>
  <si>
    <t>Custos Indiretos, Tributos e Lucro</t>
  </si>
  <si>
    <t>Custos Indiretos</t>
  </si>
  <si>
    <t>Tributos</t>
  </si>
  <si>
    <t>C.1</t>
  </si>
  <si>
    <t>C.2</t>
  </si>
  <si>
    <t>C.3</t>
  </si>
  <si>
    <t>ISS</t>
  </si>
  <si>
    <t>Incidência do Submódulo 2.2 sobre Custos Indiretos, Tributos e Lucro</t>
  </si>
  <si>
    <t>QUADRO RESUMO - CUSTO POR EMPREGADO</t>
  </si>
  <si>
    <t>Mão-de-obra vinculada à execução contratual (valor por empregado)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</si>
  <si>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</si>
  <si>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</si>
  <si>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</si>
  <si>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</si>
  <si>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</si>
  <si>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</si>
  <si>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</si>
  <si>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</si>
  <si>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</si>
  <si>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F.3</t>
  </si>
  <si>
    <t>Módulo 6.D – Incidência do Submódulo 2.2 sobre Custos Indiretos, Tributos e Lucro</t>
  </si>
  <si>
    <t>VALOR TOTAL DO ENCARREGADO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</si>
  <si>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</si>
  <si>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</si>
  <si>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</si>
  <si>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</si>
  <si>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ITEM</t>
  </si>
  <si>
    <t>OBSERVAÇÕES</t>
  </si>
  <si>
    <t>1.A</t>
  </si>
  <si>
    <t xml:space="preserve">Informar o valor do salário normativo da categoria, relativamente a um empregado.     </t>
  </si>
  <si>
    <t>1.B</t>
  </si>
  <si>
    <t>Informar o percentual referente ao adicional de insalubridade, conforme a respectiva exposição ao risco (máximo - 40%, médio - 20% e mínimo - 10%)</t>
  </si>
  <si>
    <t>1.C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</si>
  <si>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</si>
  <si>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</si>
  <si>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</si>
  <si>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</si>
  <si>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</si>
  <si>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</si>
  <si>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</si>
  <si>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</si>
  <si>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</si>
  <si>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</si>
  <si>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</si>
  <si>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</si>
  <si>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</si>
  <si>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6.A</t>
  </si>
  <si>
    <r>
      <t xml:space="preserve">Percentual da taxa de administração, de até 5,31%,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4)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 dos Insumos Diversos </t>
    </r>
    <r>
      <rPr>
        <b/>
        <sz val="11"/>
        <color indexed="60"/>
        <rFont val="Segoe UI Light"/>
        <family val="2"/>
      </rPr>
      <t>(MÓDULO 5)</t>
    </r>
    <r>
      <rPr>
        <sz val="11"/>
        <rFont val="Segoe UI Light"/>
        <family val="2"/>
      </rPr>
      <t>.</t>
    </r>
  </si>
  <si>
    <t>6.B</t>
  </si>
  <si>
    <r>
      <t xml:space="preserve">Percentual, de até 7,20%,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 xml:space="preserve">(MÓDULO 4) </t>
    </r>
    <r>
      <rPr>
        <sz val="11"/>
        <rFont val="Segoe UI Light"/>
        <family val="2"/>
      </rPr>
      <t>e dos Insumos Diversos</t>
    </r>
    <r>
      <rPr>
        <sz val="11"/>
        <color indexed="60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5)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e, ainda, sobre os Custos Indiretos </t>
    </r>
    <r>
      <rPr>
        <b/>
        <sz val="11"/>
        <color indexed="60"/>
        <rFont val="Segoe UI Light"/>
        <family val="2"/>
      </rPr>
      <t>(MÓDULO 6.A)</t>
    </r>
    <r>
      <rPr>
        <sz val="11"/>
        <rFont val="Segoe UI Light"/>
        <family val="2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</si>
  <si>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</si>
  <si>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</si>
  <si>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INFORMAÇÕES SOBRE O LOCAL ONDE OS SERVIÇOS DE LIMPEZA E CONSERVAÇÃO SERÃO EXECUTADOS</t>
  </si>
  <si>
    <t>CUSTOS REFERENTES A SERVENTES</t>
  </si>
  <si>
    <t>ÁREAS FÍSICAS A SEREM LIMPAS (em m²)</t>
  </si>
  <si>
    <t>TIPO DE ÁREA
(1)</t>
  </si>
  <si>
    <t>EDIFÍCIO-SEDE</t>
  </si>
  <si>
    <t>ANEXOS</t>
  </si>
  <si>
    <t>PTMs/PRMs</t>
  </si>
  <si>
    <t>PRODUT. (2)</t>
  </si>
  <si>
    <t>FREQUÊNCIA (EM HORAS) (3)</t>
  </si>
  <si>
    <t>(A)</t>
  </si>
  <si>
    <t>(B)</t>
  </si>
  <si>
    <t>(C)</t>
  </si>
  <si>
    <t>D = (A+B+C)</t>
  </si>
  <si>
    <t>área interna</t>
  </si>
  <si>
    <t>área externa</t>
  </si>
  <si>
    <t>esquadria externa</t>
  </si>
  <si>
    <t>fachaçada envidraçada</t>
  </si>
  <si>
    <t>área médico hospitalar</t>
  </si>
  <si>
    <t>QTDE DE SERVENTES/ENCARREGADO (SE FOR O CASO) (4)</t>
  </si>
  <si>
    <t>OBSERVAÇÕES (conforme o Anexo VII-D da IN SEGES/MPDG nº 5/2017)</t>
  </si>
  <si>
    <r>
      <t>(1)</t>
    </r>
    <r>
      <rPr>
        <sz val="11"/>
        <rFont val="Segoe UI Light"/>
        <family val="2"/>
      </rPr>
      <t xml:space="preserve"> Informar as metragens reais da unidade de acordo com os tipos de áreas existentes, incluindo PRMs/PTMs, conforme abrangência da contratação.</t>
    </r>
  </si>
  <si>
    <r>
      <t xml:space="preserve">(2) </t>
    </r>
    <r>
      <rPr>
        <sz val="11"/>
        <rFont val="Segoe UI Light"/>
        <family val="2"/>
      </rPr>
      <t>Caso as produtividades mínimas adotadas sejam diferentes, estes valores das planilhas, bem como os coeficientes deles decorrentes (Ki e Ke), deverão ser adequados à nova situação.</t>
    </r>
  </si>
  <si>
    <r>
      <t>(3)</t>
    </r>
    <r>
      <rPr>
        <sz val="11"/>
        <rFont val="Segoe UI Light"/>
        <family val="2"/>
      </rPr>
      <t xml:space="preserve"> No caso das esquadrias externas, inserir a frequência mensal. Em relação às fachas envidraçadas, incluir a frequência semestral.</t>
    </r>
  </si>
  <si>
    <r>
      <t>(4)</t>
    </r>
    <r>
      <rPr>
        <sz val="11"/>
        <rFont val="Segoe UI Light"/>
        <family val="2"/>
      </rPr>
      <t xml:space="preserve"> Caso a relação entre serventes e encarregados seja diferente, os valores das planilhas, bem como os coeficientes deles decorrentes (Ki e Ke), deverão ser adequados à nova situação. </t>
    </r>
  </si>
  <si>
    <t>Total</t>
  </si>
  <si>
    <t>Mão-de-obra vinculada à execução contratual (valor por posto)</t>
  </si>
  <si>
    <t>VALOR TOTAL DO SERVENTE</t>
  </si>
  <si>
    <t>19.00.6150.0002686/2018-57</t>
  </si>
  <si>
    <t>01/2018</t>
  </si>
  <si>
    <t>Conselho Nacional do Ministério Público</t>
  </si>
  <si>
    <t xml:space="preserve">Uniformes </t>
  </si>
  <si>
    <t>EPI</t>
  </si>
  <si>
    <t>Auxílio-saúde</t>
  </si>
  <si>
    <t>Mensal</t>
  </si>
  <si>
    <t>Assitência odontológica</t>
  </si>
  <si>
    <t>Auxílio funeral/seguro de vida</t>
  </si>
  <si>
    <t>Assistência odontológica</t>
  </si>
  <si>
    <t>Equipamentos</t>
  </si>
  <si>
    <t>Equipamento</t>
  </si>
  <si>
    <t>QUADRO RESUMO</t>
  </si>
  <si>
    <t>CARGO</t>
  </si>
  <si>
    <t>Nº POSTOS</t>
  </si>
  <si>
    <t>VALOR UNITÁRIO</t>
  </si>
  <si>
    <t>VALOR MENSAL</t>
  </si>
  <si>
    <t>VALOR ANUAL</t>
  </si>
  <si>
    <t>ENTRADA DE DADOS</t>
  </si>
  <si>
    <t>Áreas reais da unidade (em m²)</t>
  </si>
  <si>
    <t>Produtividade (m²)</t>
  </si>
  <si>
    <t>Produtividade IN nº 05/2017 (produtividade mínima da IN, considerando a jornada de 8h)</t>
  </si>
  <si>
    <t>Almoxarifado/galpão</t>
  </si>
  <si>
    <t>Espaços livres - saguão, hall e salão</t>
  </si>
  <si>
    <t>Banheiros</t>
  </si>
  <si>
    <t>alterado</t>
  </si>
  <si>
    <t>Demais áreas internas</t>
  </si>
  <si>
    <t>Pavimentos adjacentes</t>
  </si>
  <si>
    <t>Passeios e arruamentos (inclui garagem)</t>
  </si>
  <si>
    <t>Pátios e áreas verdes</t>
  </si>
  <si>
    <t>esquadrias externas</t>
  </si>
  <si>
    <t>Produtividade IN nº 05/2017</t>
  </si>
  <si>
    <t>Face externa sem exposição a risco</t>
  </si>
  <si>
    <t>Face interna</t>
  </si>
  <si>
    <t>Preço do homem-mês</t>
  </si>
  <si>
    <t>Servente</t>
  </si>
  <si>
    <t>Encarregado</t>
  </si>
  <si>
    <t>Tipo de área</t>
  </si>
  <si>
    <t>Posto</t>
  </si>
  <si>
    <t>Produtividade (I)
(1/m²)</t>
  </si>
  <si>
    <t>Preço do homem-mês (II)</t>
  </si>
  <si>
    <t>Subtotal (R$/m²)
(I) x (II)</t>
  </si>
  <si>
    <t>ÁREA INTERNA</t>
  </si>
  <si>
    <t>Preço por m² total - almoxarifado/galpão</t>
  </si>
  <si>
    <t>Preço por m² total - espaços livre</t>
  </si>
  <si>
    <t>Preço por m² total - banheiros</t>
  </si>
  <si>
    <t>Limite Mínimo</t>
  </si>
  <si>
    <t>Limite Máximo</t>
  </si>
  <si>
    <t>Preço por m² total - outros</t>
  </si>
  <si>
    <t>ÁREA EXTERNA</t>
  </si>
  <si>
    <t>Preço por m² total - pavimentos adjacentes</t>
  </si>
  <si>
    <t xml:space="preserve"> Pátios e áreas verdes</t>
  </si>
  <si>
    <t>Preço por m² total - pátios e áreas verdes</t>
  </si>
  <si>
    <t>Preço por m² total - passeios e arruamentos</t>
  </si>
  <si>
    <t>Frequência mês/semestre (II)
(em horas)</t>
  </si>
  <si>
    <t>Jornada no mês (III)
(em horas)</t>
  </si>
  <si>
    <t>Coeficiente (ki)
(I)x(II)x(III) = (IV)</t>
  </si>
  <si>
    <t>Preço do homem-mês (V)</t>
  </si>
  <si>
    <t>Subtotal (R$/m²)
(IV) x (V)</t>
  </si>
  <si>
    <t>ESQUADRIAS EXTERNAS</t>
  </si>
  <si>
    <t>Face externa sem exposição a risco e Face interna</t>
  </si>
  <si>
    <t>Preço por m² total -esquadrias ext.</t>
  </si>
  <si>
    <t>Quantidade de postos</t>
  </si>
  <si>
    <t>Qntd Serventes</t>
  </si>
  <si>
    <t>Qntd Encarregados</t>
  </si>
  <si>
    <t>Quantidade total de serventes</t>
  </si>
  <si>
    <t>Quantidade total de encarregados</t>
  </si>
  <si>
    <t/>
  </si>
  <si>
    <t>Limite máximo para a contratação</t>
  </si>
  <si>
    <t>Tipos de Áreas</t>
  </si>
  <si>
    <t>Preço por m² mensal
[R$/m²]
(p)</t>
  </si>
  <si>
    <t>Área
[m²]
(a)</t>
  </si>
  <si>
    <t>Limite por tipo de Área [R$]
(p X a)</t>
  </si>
  <si>
    <t>LIMITE MÁXIMO PARA CONTRATAÇÃO</t>
  </si>
  <si>
    <t>LIMPEZA</t>
  </si>
  <si>
    <t>Produtividade
(m²/dia)</t>
  </si>
  <si>
    <t>Área
(m²)</t>
  </si>
  <si>
    <t>LIMITE MÁXIMO PARA CONTRATAÇÃO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</si>
</sst>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164" formatCode="_(* #,##0.00_);_(* \(#,##0.00\);_(* \-??_);_(@_)"/>
    <numFmt numFmtId="165" formatCode="#,##0.00_ ;\-#,##0.00\ "/>
    <numFmt numFmtId="166" formatCode="0.00000000000000"/>
    <numFmt numFmtId="167" formatCode="_-&quot;R$&quot;* #,##0.00_-;\-&quot;R$&quot;* #,##0.00_-;_-&quot;R$&quot;* &quot;-&quot;??????????????_-;_-@_-"/>
    <numFmt numFmtId="168" formatCode="_-&quot;R$&quot;* #,##0.000_-;\-&quot;R$&quot;* #,##0.000_-;_-&quot;R$&quot;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4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1"/>
      <color indexed="60"/>
      <name val="Segoe UI Light"/>
      <family val="2"/>
    </font>
    <font>
      <sz val="11"/>
      <color indexed="60"/>
      <name val="Segoe UI Light"/>
      <family val="2"/>
    </font>
    <font>
      <sz val="10"/>
      <name val="Segoe UI Light"/>
      <family val="2"/>
    </font>
    <font>
      <i/>
      <sz val="10"/>
      <name val="Segoe UI Light"/>
      <family val="2"/>
    </font>
    <font>
      <b/>
      <sz val="10"/>
      <name val="Segoe UI Light"/>
      <family val="2"/>
    </font>
    <font>
      <sz val="9"/>
      <name val="Segoe UI Light"/>
      <family val="2"/>
    </font>
    <font>
      <sz val="11"/>
      <color rgb="FFFF0000"/>
      <name val="Segoe UI Light"/>
      <family val="2"/>
    </font>
    <font>
      <sz val="11"/>
      <color theme="0"/>
      <name val="Segoe UI Light"/>
      <family val="2"/>
    </font>
    <font>
      <b/>
      <sz val="16"/>
      <color theme="5" tint="-0.499984740745262"/>
      <name val="Segoe UI Light"/>
      <family val="2"/>
    </font>
    <font>
      <b/>
      <sz val="11"/>
      <color theme="5" tint="-0.249977111117893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0"/>
      <name val="Segoe UI Light"/>
      <family val="2"/>
    </font>
    <font>
      <i/>
      <sz val="10"/>
      <color theme="0"/>
      <name val="Segoe UI Light"/>
      <family val="2"/>
    </font>
    <font>
      <b/>
      <sz val="10"/>
      <color theme="0"/>
      <name val="Segoe UI Light"/>
      <family val="2"/>
    </font>
    <font>
      <sz val="10"/>
      <color theme="0"/>
      <name val="Segoe UI Light"/>
      <family val="2"/>
    </font>
    <font>
      <sz val="11"/>
      <color theme="5" tint="-0.249977111117893"/>
      <name val="Segoe UI Light"/>
      <family val="2"/>
    </font>
    <font>
      <sz val="8"/>
      <color theme="0"/>
      <name val="Segoe UI Light"/>
      <family val="2"/>
    </font>
    <font>
      <b/>
      <sz val="20"/>
      <color theme="5" tint="-0.249977111117893"/>
      <name val="Segoe UI Light"/>
      <family val="2"/>
    </font>
    <font>
      <b/>
      <sz val="12"/>
      <color theme="5" tint="-0.499984740745262"/>
      <name val="Segoe UI Light"/>
      <family val="2"/>
    </font>
    <font>
      <b/>
      <sz val="18"/>
      <color theme="5" tint="-0.499984740745262"/>
      <name val="Segoe UI Light"/>
      <family val="2"/>
    </font>
    <font>
      <b/>
      <sz val="18"/>
      <color theme="5" tint="-0.249977111117893"/>
      <name val="Segoe UI Light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rgb="FFD55816"/>
        <bgColor indexed="31"/>
      </patternFill>
    </fill>
    <fill>
      <patternFill patternType="solid">
        <fgColor theme="0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164" fontId="6" fillId="0" borderId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3">
    <xf numFmtId="0" fontId="0" fillId="0" borderId="0" xfId="0"/>
    <xf numFmtId="0" fontId="8" fillId="3" borderId="0" xfId="0" applyFont="1" applyFill="1"/>
    <xf numFmtId="0" fontId="9" fillId="4" borderId="0" xfId="0" applyFont="1" applyFill="1" applyProtection="1">
      <protection locked="0"/>
    </xf>
    <xf numFmtId="0" fontId="10" fillId="2" borderId="0" xfId="0" applyFont="1" applyFill="1"/>
    <xf numFmtId="0" fontId="10" fillId="2" borderId="0" xfId="0" applyFont="1" applyFill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 wrapText="1"/>
    </xf>
    <xf numFmtId="39" fontId="10" fillId="5" borderId="0" xfId="0" applyNumberFormat="1" applyFont="1" applyFill="1" applyAlignment="1">
      <alignment horizontal="right" vertical="center" wrapText="1"/>
    </xf>
    <xf numFmtId="39" fontId="10" fillId="5" borderId="0" xfId="0" applyNumberFormat="1" applyFont="1" applyFill="1" applyAlignment="1" applyProtection="1">
      <alignment horizontal="right" vertical="center" wrapText="1"/>
      <protection locked="0"/>
    </xf>
    <xf numFmtId="0" fontId="10" fillId="3" borderId="0" xfId="0" applyFont="1" applyFill="1" applyAlignment="1">
      <alignment horizontal="left" vertical="center" wrapText="1"/>
    </xf>
    <xf numFmtId="39" fontId="9" fillId="3" borderId="0" xfId="0" applyNumberFormat="1" applyFont="1" applyFill="1" applyProtection="1">
      <protection locked="0"/>
    </xf>
    <xf numFmtId="39" fontId="8" fillId="3" borderId="0" xfId="0" applyNumberFormat="1" applyFont="1" applyFill="1" applyAlignment="1">
      <alignment horizontal="right"/>
    </xf>
    <xf numFmtId="39" fontId="8" fillId="3" borderId="0" xfId="0" applyNumberFormat="1" applyFont="1" applyFill="1" applyAlignment="1" applyProtection="1">
      <alignment horizontal="right"/>
      <protection locked="0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37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4" borderId="0" xfId="0" applyFont="1" applyFill="1"/>
    <xf numFmtId="39" fontId="10" fillId="3" borderId="0" xfId="0" applyNumberFormat="1" applyFont="1" applyFill="1" applyAlignment="1">
      <alignment horizontal="center" vertical="center" wrapText="1"/>
    </xf>
    <xf numFmtId="39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7" fillId="3" borderId="0" xfId="0" applyFont="1" applyFill="1" applyProtection="1">
      <protection locked="0"/>
    </xf>
    <xf numFmtId="0" fontId="8" fillId="3" borderId="0" xfId="0" applyFont="1" applyFill="1" applyAlignment="1">
      <alignment horizontal="center" vertical="center" wrapText="1"/>
    </xf>
    <xf numFmtId="39" fontId="8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 applyProtection="1">
      <alignment wrapText="1"/>
      <protection locked="0"/>
    </xf>
    <xf numFmtId="0" fontId="10" fillId="3" borderId="0" xfId="0" applyFont="1" applyFill="1" applyAlignment="1">
      <alignment horizontal="left" vertical="center"/>
    </xf>
    <xf numFmtId="0" fontId="17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4" borderId="0" xfId="0" applyFont="1" applyFill="1" applyProtection="1"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 applyProtection="1">
      <alignment horizontal="center" vertical="center"/>
      <protection locked="0"/>
    </xf>
    <xf numFmtId="0" fontId="22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39" fontId="8" fillId="9" borderId="3" xfId="0" applyNumberFormat="1" applyFont="1" applyFill="1" applyBorder="1" applyAlignment="1" applyProtection="1">
      <alignment horizontal="right"/>
      <protection locked="0"/>
    </xf>
    <xf numFmtId="0" fontId="8" fillId="10" borderId="3" xfId="0" applyFont="1" applyFill="1" applyBorder="1" applyAlignment="1">
      <alignment horizontal="center"/>
    </xf>
    <xf numFmtId="4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3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3" xfId="0" applyFont="1" applyFill="1" applyBorder="1" applyAlignment="1">
      <alignment horizontal="center"/>
    </xf>
    <xf numFmtId="0" fontId="8" fillId="10" borderId="3" xfId="0" applyFont="1" applyFill="1" applyBorder="1"/>
    <xf numFmtId="0" fontId="8" fillId="8" borderId="3" xfId="0" applyFont="1" applyFill="1" applyBorder="1"/>
    <xf numFmtId="14" fontId="8" fillId="11" borderId="3" xfId="0" applyNumberFormat="1" applyFont="1" applyFill="1" applyBorder="1" applyAlignment="1" applyProtection="1">
      <alignment horizontal="center"/>
      <protection locked="0"/>
    </xf>
    <xf numFmtId="0" fontId="8" fillId="12" borderId="3" xfId="0" applyFont="1" applyFill="1" applyBorder="1" applyAlignment="1">
      <alignment horizontal="justify" vertical="center" wrapText="1"/>
    </xf>
    <xf numFmtId="49" fontId="8" fillId="11" borderId="3" xfId="0" applyNumberFormat="1" applyFont="1" applyFill="1" applyBorder="1" applyAlignment="1" applyProtection="1">
      <alignment horizontal="center"/>
      <protection locked="0"/>
    </xf>
    <xf numFmtId="0" fontId="22" fillId="7" borderId="3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9" borderId="3" xfId="0" applyFont="1" applyFill="1" applyBorder="1" applyAlignment="1" applyProtection="1">
      <alignment horizontal="center"/>
      <protection locked="0"/>
    </xf>
    <xf numFmtId="0" fontId="22" fillId="13" borderId="3" xfId="0" applyFont="1" applyFill="1" applyBorder="1" applyAlignment="1" applyProtection="1">
      <alignment horizontal="center" vertical="center" wrapText="1"/>
      <protection locked="0"/>
    </xf>
    <xf numFmtId="39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4" xfId="0" applyFont="1" applyFill="1" applyBorder="1" applyAlignment="1">
      <alignment horizontal="center"/>
    </xf>
    <xf numFmtId="39" fontId="8" fillId="9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13" borderId="3" xfId="0" applyFont="1" applyFill="1" applyBorder="1" applyAlignment="1">
      <alignment horizontal="center" vertical="center" wrapText="1"/>
    </xf>
    <xf numFmtId="4" fontId="8" fillId="8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 vertical="center" wrapText="1"/>
    </xf>
    <xf numFmtId="4" fontId="22" fillId="14" borderId="3" xfId="0" applyNumberFormat="1" applyFont="1" applyFill="1" applyBorder="1" applyAlignment="1">
      <alignment horizontal="right" vertical="center" wrapText="1"/>
    </xf>
    <xf numFmtId="2" fontId="8" fillId="8" borderId="3" xfId="0" applyNumberFormat="1" applyFont="1" applyFill="1" applyBorder="1" applyAlignment="1">
      <alignment horizontal="center" vertical="center" wrapText="1"/>
    </xf>
    <xf numFmtId="39" fontId="8" fillId="8" borderId="3" xfId="0" applyNumberFormat="1" applyFont="1" applyFill="1" applyBorder="1" applyAlignment="1">
      <alignment horizontal="right" vertical="center" wrapText="1"/>
    </xf>
    <xf numFmtId="0" fontId="22" fillId="7" borderId="3" xfId="0" applyFont="1" applyFill="1" applyBorder="1" applyAlignment="1">
      <alignment horizontal="center" vertical="center" wrapText="1"/>
    </xf>
    <xf numFmtId="2" fontId="8" fillId="10" borderId="3" xfId="0" applyNumberFormat="1" applyFont="1" applyFill="1" applyBorder="1" applyAlignment="1">
      <alignment horizontal="center" vertical="center"/>
    </xf>
    <xf numFmtId="39" fontId="8" fillId="10" borderId="3" xfId="0" applyNumberFormat="1" applyFont="1" applyFill="1" applyBorder="1" applyAlignment="1">
      <alignment horizontal="right" vertical="center" wrapText="1"/>
    </xf>
    <xf numFmtId="2" fontId="22" fillId="7" borderId="3" xfId="0" applyNumberFormat="1" applyFont="1" applyFill="1" applyBorder="1" applyAlignment="1">
      <alignment horizontal="center" vertical="center"/>
    </xf>
    <xf numFmtId="4" fontId="22" fillId="7" borderId="3" xfId="0" applyNumberFormat="1" applyFont="1" applyFill="1" applyBorder="1" applyAlignment="1">
      <alignment horizontal="right"/>
    </xf>
    <xf numFmtId="4" fontId="22" fillId="7" borderId="3" xfId="0" applyNumberFormat="1" applyFont="1" applyFill="1" applyBorder="1" applyAlignment="1">
      <alignment horizontal="right" vertical="center"/>
    </xf>
    <xf numFmtId="2" fontId="8" fillId="10" borderId="3" xfId="0" applyNumberFormat="1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 wrapText="1"/>
    </xf>
    <xf numFmtId="2" fontId="22" fillId="7" borderId="3" xfId="0" applyNumberFormat="1" applyFont="1" applyFill="1" applyBorder="1" applyAlignment="1">
      <alignment horizontal="center" vertical="center" wrapText="1"/>
    </xf>
    <xf numFmtId="4" fontId="22" fillId="7" borderId="3" xfId="0" applyNumberFormat="1" applyFont="1" applyFill="1" applyBorder="1" applyAlignment="1">
      <alignment horizontal="right" vertical="center" wrapText="1"/>
    </xf>
    <xf numFmtId="2" fontId="22" fillId="7" borderId="3" xfId="0" applyNumberFormat="1" applyFont="1" applyFill="1" applyBorder="1" applyAlignment="1">
      <alignment horizontal="right" vertical="center" wrapText="1"/>
    </xf>
    <xf numFmtId="39" fontId="8" fillId="8" borderId="3" xfId="0" applyNumberFormat="1" applyFont="1" applyFill="1" applyBorder="1" applyAlignment="1">
      <alignment horizontal="center" vertical="center" wrapText="1"/>
    </xf>
    <xf numFmtId="39" fontId="8" fillId="10" borderId="3" xfId="0" applyNumberFormat="1" applyFont="1" applyFill="1" applyBorder="1" applyAlignment="1">
      <alignment horizontal="center" vertical="center" wrapText="1"/>
    </xf>
    <xf numFmtId="39" fontId="22" fillId="7" borderId="3" xfId="0" applyNumberFormat="1" applyFont="1" applyFill="1" applyBorder="1" applyAlignment="1">
      <alignment horizontal="right" vertical="center" wrapText="1"/>
    </xf>
    <xf numFmtId="2" fontId="8" fillId="8" borderId="3" xfId="0" applyNumberFormat="1" applyFont="1" applyFill="1" applyBorder="1" applyAlignment="1">
      <alignment horizontal="center" vertical="center"/>
    </xf>
    <xf numFmtId="39" fontId="22" fillId="7" borderId="3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39" fontId="8" fillId="16" borderId="3" xfId="0" applyNumberFormat="1" applyFont="1" applyFill="1" applyBorder="1" applyAlignment="1">
      <alignment horizontal="center" vertical="center" wrapText="1"/>
    </xf>
    <xf numFmtId="39" fontId="8" fillId="16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 applyProtection="1">
      <alignment vertical="center"/>
      <protection locked="0"/>
    </xf>
    <xf numFmtId="0" fontId="15" fillId="15" borderId="0" xfId="0" applyFont="1" applyFill="1" applyAlignment="1">
      <alignment horizontal="left" vertical="center" wrapText="1"/>
    </xf>
    <xf numFmtId="0" fontId="10" fillId="4" borderId="0" xfId="0" applyFont="1" applyFill="1" applyAlignment="1" applyProtection="1">
      <alignment horizontal="center"/>
      <protection locked="0"/>
    </xf>
    <xf numFmtId="14" fontId="8" fillId="3" borderId="0" xfId="0" applyNumberFormat="1" applyFont="1" applyFill="1" applyAlignment="1" applyProtection="1">
      <alignment horizontal="center"/>
      <protection locked="0"/>
    </xf>
    <xf numFmtId="39" fontId="9" fillId="4" borderId="0" xfId="0" applyNumberFormat="1" applyFont="1" applyFill="1" applyProtection="1">
      <protection locked="0"/>
    </xf>
    <xf numFmtId="0" fontId="13" fillId="4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39" fontId="14" fillId="10" borderId="3" xfId="0" applyNumberFormat="1" applyFont="1" applyFill="1" applyBorder="1" applyAlignment="1">
      <alignment horizontal="center" vertical="center" wrapText="1"/>
    </xf>
    <xf numFmtId="39" fontId="14" fillId="10" borderId="3" xfId="0" applyNumberFormat="1" applyFont="1" applyFill="1" applyBorder="1" applyAlignment="1">
      <alignment horizontal="right" vertical="center" wrapText="1"/>
    </xf>
    <xf numFmtId="39" fontId="14" fillId="8" borderId="3" xfId="0" applyNumberFormat="1" applyFont="1" applyFill="1" applyBorder="1" applyAlignment="1">
      <alignment horizontal="center" vertical="center" wrapText="1"/>
    </xf>
    <xf numFmtId="39" fontId="14" fillId="8" borderId="3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center"/>
    </xf>
    <xf numFmtId="39" fontId="8" fillId="3" borderId="0" xfId="0" applyNumberFormat="1" applyFont="1" applyFill="1" applyAlignment="1" applyProtection="1">
      <alignment horizontal="right" vertical="center" wrapText="1"/>
      <protection locked="0"/>
    </xf>
    <xf numFmtId="165" fontId="8" fillId="17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10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4" fontId="8" fillId="4" borderId="0" xfId="0" applyNumberFormat="1" applyFont="1" applyFill="1" applyAlignment="1" applyProtection="1">
      <alignment horizontal="center"/>
      <protection locked="0"/>
    </xf>
    <xf numFmtId="0" fontId="24" fillId="13" borderId="3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vertical="center"/>
    </xf>
    <xf numFmtId="4" fontId="8" fillId="9" borderId="3" xfId="0" applyNumberFormat="1" applyFont="1" applyFill="1" applyBorder="1" applyAlignment="1" applyProtection="1">
      <alignment horizontal="center" vertical="center"/>
      <protection locked="0"/>
    </xf>
    <xf numFmtId="3" fontId="8" fillId="9" borderId="3" xfId="0" applyNumberFormat="1" applyFont="1" applyFill="1" applyBorder="1" applyAlignment="1" applyProtection="1">
      <alignment horizontal="center" vertical="center"/>
      <protection locked="0"/>
    </xf>
    <xf numFmtId="0" fontId="24" fillId="13" borderId="3" xfId="0" applyFont="1" applyFill="1" applyBorder="1" applyAlignment="1" applyProtection="1">
      <alignment horizontal="center" vertical="center" wrapText="1"/>
      <protection locked="0"/>
    </xf>
    <xf numFmtId="4" fontId="22" fillId="6" borderId="3" xfId="0" applyNumberFormat="1" applyFont="1" applyFill="1" applyBorder="1" applyAlignment="1">
      <alignment horizontal="center" vertical="center"/>
    </xf>
    <xf numFmtId="0" fontId="22" fillId="13" borderId="6" xfId="0" applyFont="1" applyFill="1" applyBorder="1" applyAlignment="1" applyProtection="1">
      <alignment horizontal="center" vertical="center" wrapText="1"/>
      <protection locked="0"/>
    </xf>
    <xf numFmtId="4" fontId="8" fillId="17" borderId="3" xfId="0" applyNumberFormat="1" applyFont="1" applyFill="1" applyBorder="1" applyAlignment="1" applyProtection="1">
      <alignment horizontal="right" vertical="center" wrapText="1"/>
      <protection locked="0"/>
    </xf>
    <xf numFmtId="3" fontId="8" fillId="17" borderId="3" xfId="0" applyNumberFormat="1" applyFont="1" applyFill="1" applyBorder="1" applyAlignment="1" applyProtection="1">
      <alignment horizontal="right" vertical="center" wrapText="1"/>
      <protection locked="0"/>
    </xf>
    <xf numFmtId="0" fontId="26" fillId="3" borderId="0" xfId="0" applyFont="1" applyFill="1" applyProtection="1">
      <protection locked="0"/>
    </xf>
    <xf numFmtId="0" fontId="22" fillId="7" borderId="7" xfId="0" applyFont="1" applyFill="1" applyBorder="1" applyAlignment="1">
      <alignment horizontal="center" vertical="center"/>
    </xf>
    <xf numFmtId="0" fontId="22" fillId="13" borderId="7" xfId="0" applyFont="1" applyFill="1" applyBorder="1" applyAlignment="1">
      <alignment horizontal="center" vertical="center" wrapText="1"/>
    </xf>
    <xf numFmtId="2" fontId="22" fillId="7" borderId="7" xfId="0" applyNumberFormat="1" applyFont="1" applyFill="1" applyBorder="1" applyAlignment="1">
      <alignment horizontal="center" vertical="center"/>
    </xf>
    <xf numFmtId="4" fontId="22" fillId="7" borderId="7" xfId="0" applyNumberFormat="1" applyFont="1" applyFill="1" applyBorder="1" applyAlignment="1">
      <alignment horizontal="right"/>
    </xf>
    <xf numFmtId="4" fontId="22" fillId="7" borderId="7" xfId="0" applyNumberFormat="1" applyFont="1" applyFill="1" applyBorder="1" applyAlignment="1">
      <alignment horizontal="right" vertical="center"/>
    </xf>
    <xf numFmtId="0" fontId="22" fillId="7" borderId="7" xfId="0" applyFont="1" applyFill="1" applyBorder="1" applyAlignment="1">
      <alignment horizontal="center" vertical="center" wrapText="1"/>
    </xf>
    <xf numFmtId="4" fontId="8" fillId="16" borderId="3" xfId="0" applyNumberFormat="1" applyFont="1" applyFill="1" applyBorder="1" applyAlignment="1">
      <alignment horizontal="right" vertical="center" wrapText="1"/>
    </xf>
    <xf numFmtId="2" fontId="8" fillId="16" borderId="7" xfId="0" applyNumberFormat="1" applyFont="1" applyFill="1" applyBorder="1" applyAlignment="1">
      <alignment horizontal="center" vertical="center" wrapText="1"/>
    </xf>
    <xf numFmtId="39" fontId="8" fillId="16" borderId="7" xfId="0" applyNumberFormat="1" applyFont="1" applyFill="1" applyBorder="1" applyAlignment="1">
      <alignment horizontal="right" vertical="center" wrapText="1"/>
    </xf>
    <xf numFmtId="2" fontId="8" fillId="16" borderId="3" xfId="0" applyNumberFormat="1" applyFont="1" applyFill="1" applyBorder="1" applyAlignment="1">
      <alignment horizontal="center" vertical="center" wrapText="1"/>
    </xf>
    <xf numFmtId="39" fontId="14" fillId="16" borderId="3" xfId="0" applyNumberFormat="1" applyFont="1" applyFill="1" applyBorder="1" applyAlignment="1">
      <alignment horizontal="center" vertical="center" wrapText="1"/>
    </xf>
    <xf numFmtId="39" fontId="14" fillId="16" borderId="3" xfId="0" applyNumberFormat="1" applyFont="1" applyFill="1" applyBorder="1" applyAlignment="1">
      <alignment horizontal="right" vertical="center" wrapText="1"/>
    </xf>
    <xf numFmtId="2" fontId="8" fillId="10" borderId="7" xfId="0" applyNumberFormat="1" applyFont="1" applyFill="1" applyBorder="1" applyAlignment="1">
      <alignment horizontal="center" vertical="center"/>
    </xf>
    <xf numFmtId="39" fontId="8" fillId="10" borderId="7" xfId="0" applyNumberFormat="1" applyFont="1" applyFill="1" applyBorder="1" applyAlignment="1">
      <alignment horizontal="right" vertical="center" wrapText="1"/>
    </xf>
    <xf numFmtId="4" fontId="8" fillId="7" borderId="3" xfId="0" applyNumberFormat="1" applyFont="1" applyFill="1" applyBorder="1" applyAlignment="1">
      <alignment horizontal="center" vertical="center"/>
    </xf>
    <xf numFmtId="0" fontId="27" fillId="4" borderId="0" xfId="0" applyFont="1" applyFill="1" applyProtection="1">
      <protection locked="0"/>
    </xf>
    <xf numFmtId="0" fontId="22" fillId="3" borderId="0" xfId="0" applyFont="1" applyFill="1" applyAlignment="1">
      <alignment horizontal="left" vertical="center" wrapText="1"/>
    </xf>
    <xf numFmtId="0" fontId="8" fillId="7" borderId="3" xfId="0" applyFont="1" applyFill="1" applyBorder="1" applyProtection="1">
      <protection locked="0"/>
    </xf>
    <xf numFmtId="4" fontId="8" fillId="9" borderId="3" xfId="4" applyNumberFormat="1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8" fillId="16" borderId="3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center" vertical="center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4" fontId="22" fillId="14" borderId="6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34" fillId="0" borderId="0" xfId="6" applyFont="1"/>
    <xf numFmtId="0" fontId="33" fillId="0" borderId="17" xfId="6" applyFont="1" applyBorder="1" applyAlignment="1">
      <alignment horizontal="center" vertical="center"/>
    </xf>
    <xf numFmtId="0" fontId="34" fillId="0" borderId="17" xfId="6" applyFont="1" applyBorder="1" applyAlignment="1">
      <alignment horizontal="center" vertical="center" wrapText="1"/>
    </xf>
    <xf numFmtId="0" fontId="34" fillId="0" borderId="17" xfId="6" applyFont="1" applyBorder="1"/>
    <xf numFmtId="2" fontId="34" fillId="0" borderId="17" xfId="6" applyNumberFormat="1" applyFont="1" applyBorder="1"/>
    <xf numFmtId="2" fontId="34" fillId="20" borderId="17" xfId="6" applyNumberFormat="1" applyFont="1" applyFill="1" applyBorder="1"/>
    <xf numFmtId="0" fontId="33" fillId="0" borderId="0" xfId="6" applyFont="1" applyAlignment="1">
      <alignment horizontal="center"/>
    </xf>
    <xf numFmtId="0" fontId="34" fillId="0" borderId="17" xfId="6" applyFont="1" applyBorder="1" applyAlignment="1">
      <alignment horizontal="center" vertical="center"/>
    </xf>
    <xf numFmtId="2" fontId="34" fillId="0" borderId="0" xfId="6" applyNumberFormat="1" applyFont="1"/>
    <xf numFmtId="0" fontId="33" fillId="0" borderId="0" xfId="6" applyFont="1" applyBorder="1" applyAlignment="1">
      <alignment horizontal="center"/>
    </xf>
    <xf numFmtId="44" fontId="34" fillId="0" borderId="17" xfId="7" applyFont="1" applyBorder="1"/>
    <xf numFmtId="44" fontId="34" fillId="0" borderId="0" xfId="7" applyFont="1" applyBorder="1"/>
    <xf numFmtId="44" fontId="34" fillId="0" borderId="0" xfId="7" applyFont="1"/>
    <xf numFmtId="44" fontId="34" fillId="0" borderId="0" xfId="6" applyNumberFormat="1" applyFont="1"/>
    <xf numFmtId="166" fontId="34" fillId="0" borderId="17" xfId="6" applyNumberFormat="1" applyFont="1" applyBorder="1" applyAlignment="1">
      <alignment horizontal="center" vertical="center" wrapText="1"/>
    </xf>
    <xf numFmtId="0" fontId="34" fillId="0" borderId="0" xfId="8" applyFont="1" applyAlignment="1">
      <alignment horizontal="center" vertical="center" wrapText="1"/>
    </xf>
    <xf numFmtId="0" fontId="34" fillId="0" borderId="0" xfId="6" applyFont="1" applyAlignment="1">
      <alignment horizontal="center" vertical="center" wrapText="1"/>
    </xf>
    <xf numFmtId="44" fontId="34" fillId="0" borderId="17" xfId="6" applyNumberFormat="1" applyFont="1" applyBorder="1" applyAlignment="1">
      <alignment horizontal="center" vertical="center" wrapText="1"/>
    </xf>
    <xf numFmtId="167" fontId="34" fillId="0" borderId="17" xfId="6" applyNumberFormat="1" applyFont="1" applyBorder="1" applyAlignment="1">
      <alignment horizontal="center" vertical="center" wrapText="1"/>
    </xf>
    <xf numFmtId="44" fontId="34" fillId="0" borderId="24" xfId="6" applyNumberFormat="1" applyFont="1" applyBorder="1" applyAlignment="1">
      <alignment vertical="center" wrapText="1"/>
    </xf>
    <xf numFmtId="44" fontId="34" fillId="0" borderId="24" xfId="6" applyNumberFormat="1" applyFont="1" applyBorder="1" applyAlignment="1">
      <alignment horizontal="center" vertical="center" wrapText="1"/>
    </xf>
    <xf numFmtId="44" fontId="34" fillId="0" borderId="0" xfId="8" applyNumberFormat="1" applyFont="1" applyAlignment="1">
      <alignment horizontal="center" vertical="center" wrapText="1"/>
    </xf>
    <xf numFmtId="0" fontId="34" fillId="0" borderId="17" xfId="8" applyFont="1" applyBorder="1" applyAlignment="1">
      <alignment horizontal="center" vertical="center" wrapText="1"/>
    </xf>
    <xf numFmtId="168" fontId="34" fillId="0" borderId="24" xfId="6" applyNumberFormat="1" applyFont="1" applyBorder="1" applyAlignment="1">
      <alignment horizontal="center" vertical="center" wrapText="1"/>
    </xf>
    <xf numFmtId="44" fontId="34" fillId="0" borderId="17" xfId="9" applyFont="1" applyBorder="1" applyAlignment="1">
      <alignment horizontal="center" vertical="center" wrapText="1"/>
    </xf>
    <xf numFmtId="44" fontId="34" fillId="0" borderId="0" xfId="9" applyFont="1" applyBorder="1" applyAlignment="1">
      <alignment horizontal="center" vertical="center" wrapText="1"/>
    </xf>
    <xf numFmtId="0" fontId="34" fillId="0" borderId="0" xfId="8" applyFont="1" applyAlignment="1">
      <alignment horizontal="center"/>
    </xf>
    <xf numFmtId="0" fontId="34" fillId="0" borderId="0" xfId="8" applyFont="1" applyBorder="1" applyAlignment="1">
      <alignment horizontal="center"/>
    </xf>
    <xf numFmtId="0" fontId="34" fillId="0" borderId="0" xfId="6" applyFont="1" applyAlignment="1">
      <alignment horizontal="right"/>
    </xf>
    <xf numFmtId="166" fontId="34" fillId="0" borderId="0" xfId="6" applyNumberFormat="1" applyFont="1" applyAlignment="1">
      <alignment horizontal="right"/>
    </xf>
    <xf numFmtId="167" fontId="34" fillId="0" borderId="0" xfId="6" applyNumberFormat="1" applyFont="1"/>
    <xf numFmtId="0" fontId="34" fillId="0" borderId="0" xfId="8" applyFont="1"/>
    <xf numFmtId="166" fontId="34" fillId="0" borderId="0" xfId="6" applyNumberFormat="1" applyFont="1"/>
    <xf numFmtId="166" fontId="34" fillId="0" borderId="0" xfId="8" applyNumberFormat="1" applyFont="1"/>
    <xf numFmtId="0" fontId="33" fillId="0" borderId="17" xfId="8" applyFont="1" applyBorder="1" applyAlignment="1">
      <alignment horizontal="center" vertical="center"/>
    </xf>
    <xf numFmtId="0" fontId="33" fillId="0" borderId="17" xfId="8" applyFont="1" applyBorder="1" applyAlignment="1">
      <alignment horizontal="center" vertical="center" wrapText="1"/>
    </xf>
    <xf numFmtId="0" fontId="34" fillId="0" borderId="17" xfId="6" applyFont="1" applyBorder="1" applyAlignment="1">
      <alignment vertical="center"/>
    </xf>
    <xf numFmtId="2" fontId="34" fillId="0" borderId="17" xfId="8" applyNumberFormat="1" applyFont="1" applyBorder="1" applyAlignment="1">
      <alignment vertical="center"/>
    </xf>
    <xf numFmtId="0" fontId="34" fillId="0" borderId="17" xfId="8" applyFont="1" applyBorder="1" applyAlignment="1">
      <alignment vertical="center"/>
    </xf>
    <xf numFmtId="0" fontId="34" fillId="0" borderId="0" xfId="8" quotePrefix="1" applyFont="1"/>
    <xf numFmtId="0" fontId="34" fillId="0" borderId="0" xfId="8" applyFont="1" applyAlignment="1">
      <alignment vertical="center"/>
    </xf>
    <xf numFmtId="44" fontId="34" fillId="0" borderId="17" xfId="9" applyFont="1" applyBorder="1" applyAlignment="1">
      <alignment vertical="center"/>
    </xf>
    <xf numFmtId="2" fontId="34" fillId="0" borderId="17" xfId="6" applyNumberFormat="1" applyFont="1" applyBorder="1" applyAlignment="1">
      <alignment vertical="center"/>
    </xf>
    <xf numFmtId="44" fontId="34" fillId="0" borderId="17" xfId="6" applyNumberFormat="1" applyFont="1" applyBorder="1" applyAlignment="1">
      <alignment vertical="center"/>
    </xf>
    <xf numFmtId="44" fontId="33" fillId="0" borderId="17" xfId="8" applyNumberFormat="1" applyFont="1" applyBorder="1" applyAlignment="1">
      <alignment vertical="center"/>
    </xf>
    <xf numFmtId="0" fontId="0" fillId="3" borderId="17" xfId="0" applyFill="1" applyBorder="1"/>
    <xf numFmtId="44" fontId="0" fillId="3" borderId="17" xfId="5" applyFont="1" applyFill="1" applyBorder="1"/>
    <xf numFmtId="44" fontId="0" fillId="3" borderId="17" xfId="0" applyNumberFormat="1" applyFill="1" applyBorder="1"/>
    <xf numFmtId="0" fontId="28" fillId="3" borderId="0" xfId="0" applyFont="1" applyFill="1" applyAlignment="1">
      <alignment horizontal="center" vertical="center"/>
    </xf>
    <xf numFmtId="0" fontId="22" fillId="7" borderId="3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/>
    </xf>
    <xf numFmtId="39" fontId="8" fillId="8" borderId="3" xfId="0" applyNumberFormat="1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4" fontId="8" fillId="8" borderId="3" xfId="0" applyNumberFormat="1" applyFont="1" applyFill="1" applyBorder="1" applyAlignment="1">
      <alignment horizontal="left" wrapText="1"/>
    </xf>
    <xf numFmtId="0" fontId="8" fillId="8" borderId="3" xfId="0" applyFont="1" applyFill="1" applyBorder="1" applyAlignment="1">
      <alignment horizontal="left" wrapText="1"/>
    </xf>
    <xf numFmtId="4" fontId="8" fillId="17" borderId="8" xfId="0" applyNumberFormat="1" applyFont="1" applyFill="1" applyBorder="1" applyAlignment="1" applyProtection="1">
      <alignment horizontal="left" vertical="center" wrapText="1"/>
      <protection locked="0"/>
    </xf>
    <xf numFmtId="4" fontId="8" fillId="17" borderId="9" xfId="0" applyNumberFormat="1" applyFont="1" applyFill="1" applyBorder="1" applyAlignment="1" applyProtection="1">
      <alignment horizontal="left" vertical="center" wrapText="1"/>
      <protection locked="0"/>
    </xf>
    <xf numFmtId="4" fontId="8" fillId="17" borderId="5" xfId="0" applyNumberFormat="1" applyFont="1" applyFill="1" applyBorder="1" applyAlignment="1" applyProtection="1">
      <alignment horizontal="left" vertical="center" wrapText="1"/>
      <protection locked="0"/>
    </xf>
    <xf numFmtId="0" fontId="22" fillId="6" borderId="3" xfId="0" applyFont="1" applyFill="1" applyBorder="1" applyAlignment="1">
      <alignment horizontal="left" vertical="center"/>
    </xf>
    <xf numFmtId="0" fontId="22" fillId="13" borderId="3" xfId="0" applyFont="1" applyFill="1" applyBorder="1" applyAlignment="1" applyProtection="1">
      <alignment horizontal="left" vertical="center" wrapText="1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 vertical="center" wrapText="1"/>
    </xf>
    <xf numFmtId="0" fontId="22" fillId="7" borderId="5" xfId="0" applyFont="1" applyFill="1" applyBorder="1" applyAlignment="1">
      <alignment horizontal="left" vertical="center"/>
    </xf>
    <xf numFmtId="0" fontId="22" fillId="7" borderId="5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justify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justify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wrapText="1"/>
    </xf>
    <xf numFmtId="4" fontId="8" fillId="8" borderId="3" xfId="0" applyNumberFormat="1" applyFont="1" applyFill="1" applyBorder="1" applyAlignment="1">
      <alignment horizontal="left" vertical="center" wrapText="1"/>
    </xf>
    <xf numFmtId="4" fontId="8" fillId="10" borderId="3" xfId="0" applyNumberFormat="1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justify" vertical="center" wrapText="1"/>
    </xf>
    <xf numFmtId="0" fontId="8" fillId="12" borderId="3" xfId="0" applyFont="1" applyFill="1" applyBorder="1" applyAlignment="1">
      <alignment horizontal="left" vertical="center" wrapText="1"/>
    </xf>
    <xf numFmtId="0" fontId="8" fillId="18" borderId="3" xfId="0" applyFont="1" applyFill="1" applyBorder="1" applyAlignment="1">
      <alignment horizontal="justify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 applyProtection="1">
      <alignment horizontal="left" vertical="center"/>
      <protection locked="0"/>
    </xf>
    <xf numFmtId="0" fontId="8" fillId="9" borderId="3" xfId="0" applyFont="1" applyFill="1" applyBorder="1" applyAlignment="1">
      <alignment horizontal="center"/>
    </xf>
    <xf numFmtId="0" fontId="7" fillId="11" borderId="3" xfId="0" applyFont="1" applyFill="1" applyBorder="1" applyAlignment="1" applyProtection="1">
      <alignment horizontal="left"/>
      <protection locked="0"/>
    </xf>
    <xf numFmtId="0" fontId="14" fillId="8" borderId="3" xfId="0" applyFont="1" applyFill="1" applyBorder="1" applyAlignment="1">
      <alignment horizontal="left" vertical="center" wrapText="1" indent="1"/>
    </xf>
    <xf numFmtId="0" fontId="14" fillId="10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justify" vertical="center" wrapText="1"/>
    </xf>
    <xf numFmtId="0" fontId="30" fillId="3" borderId="0" xfId="0" applyFont="1" applyFill="1" applyAlignment="1" applyProtection="1">
      <alignment horizontal="center"/>
      <protection locked="0"/>
    </xf>
    <xf numFmtId="0" fontId="8" fillId="18" borderId="3" xfId="0" applyFont="1" applyFill="1" applyBorder="1" applyAlignment="1">
      <alignment horizontal="left"/>
    </xf>
    <xf numFmtId="0" fontId="8" fillId="11" borderId="3" xfId="0" applyFont="1" applyFill="1" applyBorder="1" applyAlignment="1" applyProtection="1">
      <alignment horizontal="center"/>
      <protection locked="0"/>
    </xf>
    <xf numFmtId="0" fontId="22" fillId="7" borderId="3" xfId="0" applyFont="1" applyFill="1" applyBorder="1" applyAlignment="1">
      <alignment horizontal="left"/>
    </xf>
    <xf numFmtId="0" fontId="8" fillId="12" borderId="3" xfId="0" applyFont="1" applyFill="1" applyBorder="1" applyAlignment="1" applyProtection="1">
      <alignment horizontal="left" vertical="center"/>
      <protection locked="0"/>
    </xf>
    <xf numFmtId="0" fontId="8" fillId="12" borderId="3" xfId="0" applyFont="1" applyFill="1" applyBorder="1" applyAlignment="1">
      <alignment horizontal="left"/>
    </xf>
    <xf numFmtId="0" fontId="8" fillId="11" borderId="3" xfId="0" applyFont="1" applyFill="1" applyBorder="1" applyAlignment="1" applyProtection="1">
      <alignment horizontal="left"/>
      <protection locked="0"/>
    </xf>
    <xf numFmtId="0" fontId="29" fillId="0" borderId="0" xfId="0" applyFont="1" applyAlignment="1">
      <alignment horizontal="center"/>
    </xf>
    <xf numFmtId="0" fontId="8" fillId="11" borderId="3" xfId="0" applyFont="1" applyFill="1" applyBorder="1" applyAlignment="1" applyProtection="1">
      <alignment horizontal="left" vertical="center"/>
      <protection locked="0"/>
    </xf>
    <xf numFmtId="0" fontId="24" fillId="13" borderId="3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justify" vertical="center" wrapText="1"/>
    </xf>
    <xf numFmtId="0" fontId="10" fillId="12" borderId="12" xfId="0" applyFont="1" applyFill="1" applyBorder="1" applyAlignment="1">
      <alignment horizontal="justify" vertical="center" wrapText="1"/>
    </xf>
    <xf numFmtId="0" fontId="10" fillId="12" borderId="13" xfId="0" applyFont="1" applyFill="1" applyBorder="1" applyAlignment="1">
      <alignment horizontal="justify" vertical="center" wrapText="1"/>
    </xf>
    <xf numFmtId="0" fontId="10" fillId="12" borderId="14" xfId="0" applyFont="1" applyFill="1" applyBorder="1" applyAlignment="1">
      <alignment horizontal="justify" vertical="center" wrapText="1"/>
    </xf>
    <xf numFmtId="0" fontId="10" fillId="12" borderId="15" xfId="0" applyFont="1" applyFill="1" applyBorder="1" applyAlignment="1">
      <alignment horizontal="justify" vertical="center" wrapText="1"/>
    </xf>
    <xf numFmtId="0" fontId="10" fillId="12" borderId="16" xfId="0" applyFont="1" applyFill="1" applyBorder="1" applyAlignment="1">
      <alignment horizontal="justify" vertical="center" wrapText="1"/>
    </xf>
    <xf numFmtId="0" fontId="10" fillId="18" borderId="11" xfId="0" applyFont="1" applyFill="1" applyBorder="1" applyAlignment="1">
      <alignment horizontal="justify" vertical="center" wrapText="1"/>
    </xf>
    <xf numFmtId="0" fontId="10" fillId="18" borderId="12" xfId="0" applyFont="1" applyFill="1" applyBorder="1" applyAlignment="1">
      <alignment horizontal="justify" vertical="center" wrapText="1"/>
    </xf>
    <xf numFmtId="0" fontId="10" fillId="18" borderId="13" xfId="0" applyFont="1" applyFill="1" applyBorder="1" applyAlignment="1">
      <alignment horizontal="justify" vertical="center" wrapText="1"/>
    </xf>
    <xf numFmtId="0" fontId="10" fillId="18" borderId="14" xfId="0" applyFont="1" applyFill="1" applyBorder="1" applyAlignment="1">
      <alignment horizontal="justify" vertical="center" wrapText="1"/>
    </xf>
    <xf numFmtId="0" fontId="10" fillId="18" borderId="15" xfId="0" applyFont="1" applyFill="1" applyBorder="1" applyAlignment="1">
      <alignment horizontal="justify" vertical="center" wrapText="1"/>
    </xf>
    <xf numFmtId="0" fontId="10" fillId="18" borderId="16" xfId="0" applyFont="1" applyFill="1" applyBorder="1" applyAlignment="1">
      <alignment horizontal="justify" vertical="center" wrapText="1"/>
    </xf>
    <xf numFmtId="0" fontId="22" fillId="13" borderId="6" xfId="0" applyFont="1" applyFill="1" applyBorder="1" applyAlignment="1" applyProtection="1">
      <alignment horizontal="left" vertical="center" wrapText="1"/>
      <protection locked="0"/>
    </xf>
    <xf numFmtId="0" fontId="31" fillId="3" borderId="0" xfId="0" applyFont="1" applyFill="1" applyAlignment="1" applyProtection="1">
      <alignment horizontal="center"/>
      <protection locked="0"/>
    </xf>
    <xf numFmtId="0" fontId="8" fillId="17" borderId="3" xfId="0" applyFont="1" applyFill="1" applyBorder="1" applyAlignment="1">
      <alignment horizontal="center"/>
    </xf>
    <xf numFmtId="0" fontId="24" fillId="13" borderId="4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9" xfId="0" applyFont="1" applyFill="1" applyBorder="1" applyAlignment="1">
      <alignment horizontal="left" vertical="center" wrapText="1"/>
    </xf>
    <xf numFmtId="0" fontId="24" fillId="13" borderId="5" xfId="0" applyFont="1" applyFill="1" applyBorder="1" applyAlignment="1">
      <alignment horizontal="left" vertical="center" wrapText="1"/>
    </xf>
    <xf numFmtId="0" fontId="31" fillId="3" borderId="0" xfId="0" applyFont="1" applyFill="1" applyAlignment="1" applyProtection="1">
      <alignment horizontal="center" vertical="center" wrapText="1"/>
      <protection locked="0"/>
    </xf>
    <xf numFmtId="0" fontId="24" fillId="13" borderId="10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left" vertical="center"/>
    </xf>
    <xf numFmtId="0" fontId="22" fillId="6" borderId="10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/>
    </xf>
    <xf numFmtId="4" fontId="8" fillId="16" borderId="3" xfId="0" applyNumberFormat="1" applyFont="1" applyFill="1" applyBorder="1" applyAlignment="1">
      <alignment horizontal="left" wrapText="1"/>
    </xf>
    <xf numFmtId="0" fontId="8" fillId="16" borderId="3" xfId="0" applyFont="1" applyFill="1" applyBorder="1" applyAlignment="1">
      <alignment horizontal="left" wrapText="1"/>
    </xf>
    <xf numFmtId="0" fontId="22" fillId="7" borderId="7" xfId="0" applyFont="1" applyFill="1" applyBorder="1" applyAlignment="1">
      <alignment horizontal="left" vertical="center"/>
    </xf>
    <xf numFmtId="0" fontId="8" fillId="16" borderId="7" xfId="0" applyFont="1" applyFill="1" applyBorder="1" applyAlignment="1">
      <alignment horizontal="left" vertical="center" wrapText="1"/>
    </xf>
    <xf numFmtId="0" fontId="8" fillId="10" borderId="7" xfId="0" applyFont="1" applyFill="1" applyBorder="1" applyAlignment="1">
      <alignment horizontal="left" vertical="center" wrapText="1"/>
    </xf>
    <xf numFmtId="39" fontId="8" fillId="16" borderId="3" xfId="0" applyNumberFormat="1" applyFont="1" applyFill="1" applyBorder="1" applyAlignment="1">
      <alignment horizontal="left" vertical="center" wrapText="1"/>
    </xf>
    <xf numFmtId="0" fontId="8" fillId="10" borderId="7" xfId="0" applyFont="1" applyFill="1" applyBorder="1" applyAlignment="1">
      <alignment horizontal="justify" vertical="center" wrapText="1"/>
    </xf>
    <xf numFmtId="0" fontId="8" fillId="16" borderId="3" xfId="0" applyFont="1" applyFill="1" applyBorder="1" applyAlignment="1">
      <alignment horizontal="left" vertical="center" wrapText="1"/>
    </xf>
    <xf numFmtId="4" fontId="8" fillId="16" borderId="3" xfId="0" applyNumberFormat="1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left" vertical="center" wrapText="1" indent="1"/>
    </xf>
    <xf numFmtId="0" fontId="8" fillId="16" borderId="3" xfId="0" applyFont="1" applyFill="1" applyBorder="1" applyAlignment="1">
      <alignment horizontal="justify" vertical="center" wrapText="1"/>
    </xf>
    <xf numFmtId="0" fontId="8" fillId="19" borderId="3" xfId="0" applyFont="1" applyFill="1" applyBorder="1" applyAlignment="1">
      <alignment horizontal="justify" vertical="center" wrapText="1"/>
    </xf>
    <xf numFmtId="0" fontId="33" fillId="0" borderId="18" xfId="6" applyFont="1" applyBorder="1" applyAlignment="1">
      <alignment horizontal="center"/>
    </xf>
    <xf numFmtId="0" fontId="33" fillId="0" borderId="19" xfId="6" applyFont="1" applyBorder="1" applyAlignment="1">
      <alignment horizontal="center"/>
    </xf>
    <xf numFmtId="0" fontId="33" fillId="0" borderId="17" xfId="6" applyFont="1" applyBorder="1" applyAlignment="1">
      <alignment horizontal="center"/>
    </xf>
    <xf numFmtId="0" fontId="34" fillId="0" borderId="17" xfId="6" applyFont="1" applyBorder="1" applyAlignment="1">
      <alignment horizontal="center" vertical="center"/>
    </xf>
    <xf numFmtId="0" fontId="34" fillId="0" borderId="18" xfId="6" applyFont="1" applyBorder="1" applyAlignment="1">
      <alignment horizontal="center" vertical="center"/>
    </xf>
    <xf numFmtId="0" fontId="34" fillId="0" borderId="19" xfId="6" applyFont="1" applyBorder="1" applyAlignment="1">
      <alignment horizontal="center" vertical="center"/>
    </xf>
    <xf numFmtId="0" fontId="33" fillId="0" borderId="17" xfId="6" applyFont="1" applyBorder="1" applyAlignment="1">
      <alignment horizontal="center" vertical="center"/>
    </xf>
    <xf numFmtId="0" fontId="34" fillId="0" borderId="17" xfId="8" applyFont="1" applyBorder="1" applyAlignment="1">
      <alignment horizontal="center" vertical="center" wrapText="1"/>
    </xf>
    <xf numFmtId="0" fontId="34" fillId="0" borderId="17" xfId="8" applyFont="1" applyBorder="1" applyAlignment="1">
      <alignment horizontal="center" vertical="center" textRotation="90" wrapText="1"/>
    </xf>
    <xf numFmtId="0" fontId="34" fillId="0" borderId="17" xfId="6" applyFont="1" applyBorder="1" applyAlignment="1">
      <alignment horizontal="center" vertical="center" wrapText="1"/>
    </xf>
    <xf numFmtId="0" fontId="34" fillId="0" borderId="20" xfId="8" applyFont="1" applyBorder="1" applyAlignment="1">
      <alignment horizontal="center" vertical="center" textRotation="90" wrapText="1"/>
    </xf>
    <xf numFmtId="0" fontId="34" fillId="0" borderId="22" xfId="8" applyFont="1" applyBorder="1" applyAlignment="1">
      <alignment horizontal="center" vertical="center" textRotation="90" wrapText="1"/>
    </xf>
    <xf numFmtId="0" fontId="34" fillId="0" borderId="26" xfId="8" applyFont="1" applyBorder="1" applyAlignment="1">
      <alignment horizontal="center" vertical="center" textRotation="90" wrapText="1"/>
    </xf>
    <xf numFmtId="0" fontId="34" fillId="0" borderId="21" xfId="6" applyFont="1" applyBorder="1" applyAlignment="1">
      <alignment horizontal="center" vertical="center" wrapText="1"/>
    </xf>
    <xf numFmtId="0" fontId="34" fillId="0" borderId="23" xfId="6" applyFont="1" applyBorder="1" applyAlignment="1">
      <alignment horizontal="center" vertical="center" wrapText="1"/>
    </xf>
    <xf numFmtId="0" fontId="34" fillId="0" borderId="24" xfId="6" applyFont="1" applyBorder="1" applyAlignment="1">
      <alignment horizontal="center" vertical="center" wrapText="1"/>
    </xf>
    <xf numFmtId="0" fontId="34" fillId="0" borderId="18" xfId="6" applyFont="1" applyBorder="1" applyAlignment="1">
      <alignment horizontal="right" vertical="center" wrapText="1"/>
    </xf>
    <xf numFmtId="0" fontId="34" fillId="0" borderId="25" xfId="6" applyFont="1" applyBorder="1" applyAlignment="1">
      <alignment horizontal="right" vertical="center" wrapText="1"/>
    </xf>
    <xf numFmtId="0" fontId="34" fillId="0" borderId="19" xfId="6" applyFont="1" applyBorder="1" applyAlignment="1">
      <alignment horizontal="right" vertical="center" wrapText="1"/>
    </xf>
    <xf numFmtId="0" fontId="34" fillId="0" borderId="21" xfId="8" applyFont="1" applyBorder="1" applyAlignment="1">
      <alignment horizontal="center" vertical="center" wrapText="1"/>
    </xf>
    <xf numFmtId="0" fontId="34" fillId="0" borderId="23" xfId="8" applyFont="1" applyBorder="1" applyAlignment="1">
      <alignment horizontal="center" vertical="center" wrapText="1"/>
    </xf>
    <xf numFmtId="0" fontId="34" fillId="0" borderId="24" xfId="8" applyFont="1" applyBorder="1" applyAlignment="1">
      <alignment horizontal="center" vertical="center" wrapText="1"/>
    </xf>
    <xf numFmtId="0" fontId="34" fillId="0" borderId="18" xfId="6" applyFont="1" applyBorder="1" applyAlignment="1">
      <alignment horizontal="center" vertical="center" wrapText="1"/>
    </xf>
    <xf numFmtId="0" fontId="34" fillId="0" borderId="25" xfId="6" applyFont="1" applyBorder="1" applyAlignment="1">
      <alignment horizontal="center" vertical="center" wrapText="1"/>
    </xf>
    <xf numFmtId="0" fontId="34" fillId="0" borderId="19" xfId="6" applyFont="1" applyBorder="1" applyAlignment="1">
      <alignment horizontal="center" vertical="center" wrapText="1"/>
    </xf>
    <xf numFmtId="0" fontId="33" fillId="0" borderId="17" xfId="6" applyFont="1" applyFill="1" applyBorder="1" applyAlignment="1">
      <alignment horizontal="right" vertical="center"/>
    </xf>
    <xf numFmtId="0" fontId="33" fillId="0" borderId="17" xfId="6" applyFont="1" applyFill="1" applyBorder="1" applyAlignment="1">
      <alignment horizontal="center" vertical="center"/>
    </xf>
    <xf numFmtId="0" fontId="33" fillId="0" borderId="17" xfId="8" applyFont="1" applyBorder="1" applyAlignment="1">
      <alignment horizontal="center" vertical="center"/>
    </xf>
    <xf numFmtId="0" fontId="36" fillId="0" borderId="17" xfId="8" applyFont="1" applyBorder="1" applyAlignment="1">
      <alignment horizontal="center" vertical="center" wrapText="1"/>
    </xf>
    <xf numFmtId="0" fontId="35" fillId="0" borderId="17" xfId="6" applyFont="1" applyBorder="1" applyAlignment="1">
      <alignment horizontal="center" vertical="center"/>
    </xf>
    <xf numFmtId="0" fontId="33" fillId="0" borderId="17" xfId="8" applyFont="1" applyBorder="1" applyAlignment="1">
      <alignment horizontal="center" vertical="center" textRotation="90" wrapText="1"/>
    </xf>
    <xf numFmtId="0" fontId="36" fillId="0" borderId="17" xfId="8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left"/>
    </xf>
  </cellXfs>
  <cellStyles count="10">
    <cellStyle name="Moeda" xfId="5" builtinId="4"/>
    <cellStyle name="Moeda 2" xfId="7"/>
    <cellStyle name="Moeda 3" xfId="9"/>
    <cellStyle name="Normal" xfId="0" builtinId="0"/>
    <cellStyle name="Normal 2" xfId="6"/>
    <cellStyle name="Normal 3" xfId="8"/>
    <cellStyle name="Título 1 1" xfId="1"/>
    <cellStyle name="Título 1 1 1" xfId="2"/>
    <cellStyle name="Total" xfId="3" builtinId="25" customBuiltin="1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topLeftCell="A126" zoomScaleNormal="100" zoomScaleSheetLayoutView="100" workbookViewId="0">
      <selection activeCell="F147" sqref="F147"/>
    </sheetView>
  </sheetViews>
  <sheetFormatPr defaultRowHeight="16.5" x14ac:dyDescent="0.3"/>
  <cols>
    <col min="1" max="1" width="1.140625" style="9" customWidth="1"/>
    <col min="2" max="2" width="8" style="9" customWidth="1"/>
    <col min="3" max="3" width="52.5703125" style="35" customWidth="1"/>
    <col min="4" max="4" width="7.85546875" style="35" customWidth="1"/>
    <col min="5" max="5" width="13.5703125" style="35" customWidth="1"/>
    <col min="6" max="6" width="15.42578125" style="35" bestFit="1" customWidth="1"/>
    <col min="7" max="7" width="11.42578125" style="9" bestFit="1" customWidth="1"/>
    <col min="8" max="16384" width="9.140625" style="9"/>
  </cols>
  <sheetData>
    <row r="1" spans="2:6" s="1" customFormat="1" ht="20.25" x14ac:dyDescent="0.35">
      <c r="B1" s="221" t="s">
        <v>0</v>
      </c>
      <c r="C1" s="221"/>
      <c r="D1" s="221"/>
      <c r="E1" s="221"/>
      <c r="F1" s="221"/>
    </row>
    <row r="2" spans="2:6" s="1" customFormat="1" ht="20.25" x14ac:dyDescent="0.35">
      <c r="B2" s="221" t="s">
        <v>1</v>
      </c>
      <c r="C2" s="221"/>
      <c r="D2" s="221"/>
      <c r="E2" s="221" t="s">
        <v>2</v>
      </c>
      <c r="F2" s="221"/>
    </row>
    <row r="3" spans="2:6" s="1" customFormat="1" x14ac:dyDescent="0.3">
      <c r="B3" s="2"/>
      <c r="C3" s="2"/>
      <c r="D3" s="2"/>
      <c r="E3" s="2"/>
      <c r="F3" s="2"/>
    </row>
    <row r="4" spans="2:6" s="2" customFormat="1" ht="26.25" x14ac:dyDescent="0.45">
      <c r="B4" s="225" t="s">
        <v>3</v>
      </c>
      <c r="C4" s="225"/>
      <c r="D4" s="225"/>
      <c r="E4" s="225"/>
      <c r="F4" s="225"/>
    </row>
    <row r="5" spans="2:6" s="2" customFormat="1" ht="9" customHeight="1" x14ac:dyDescent="0.3">
      <c r="B5" s="9"/>
      <c r="C5" s="9"/>
      <c r="D5" s="9"/>
      <c r="E5" s="9"/>
      <c r="F5" s="9"/>
    </row>
    <row r="6" spans="2:6" s="2" customFormat="1" ht="15.95" customHeight="1" x14ac:dyDescent="0.3">
      <c r="B6" s="228" t="s">
        <v>4</v>
      </c>
      <c r="C6" s="228"/>
      <c r="D6" s="228"/>
      <c r="E6" s="228"/>
      <c r="F6" s="228"/>
    </row>
    <row r="7" spans="2:6" s="2" customFormat="1" x14ac:dyDescent="0.3">
      <c r="B7" s="226" t="s">
        <v>5</v>
      </c>
      <c r="C7" s="226"/>
      <c r="D7" s="227" t="s">
        <v>177</v>
      </c>
      <c r="E7" s="227"/>
      <c r="F7" s="227"/>
    </row>
    <row r="8" spans="2:6" s="2" customFormat="1" x14ac:dyDescent="0.3">
      <c r="B8" s="230" t="s">
        <v>6</v>
      </c>
      <c r="C8" s="230"/>
      <c r="D8" s="231" t="s">
        <v>7</v>
      </c>
      <c r="E8" s="231"/>
      <c r="F8" s="54" t="s">
        <v>8</v>
      </c>
    </row>
    <row r="9" spans="2:6" s="2" customFormat="1" x14ac:dyDescent="0.3">
      <c r="C9" s="3"/>
      <c r="D9" s="4"/>
      <c r="E9" s="4"/>
      <c r="F9" s="5"/>
    </row>
    <row r="10" spans="2:6" s="2" customFormat="1" ht="15.75" customHeight="1" x14ac:dyDescent="0.3">
      <c r="B10" s="232" t="s">
        <v>9</v>
      </c>
      <c r="C10" s="232"/>
      <c r="D10" s="232"/>
      <c r="E10" s="232"/>
      <c r="F10" s="232"/>
    </row>
    <row r="11" spans="2:6" s="2" customFormat="1" ht="18" customHeight="1" x14ac:dyDescent="0.3">
      <c r="B11" s="49" t="s">
        <v>10</v>
      </c>
      <c r="C11" s="226" t="s">
        <v>11</v>
      </c>
      <c r="D11" s="226"/>
      <c r="E11" s="226"/>
      <c r="F11" s="52" t="s">
        <v>12</v>
      </c>
    </row>
    <row r="12" spans="2:6" s="2" customFormat="1" ht="15.95" customHeight="1" x14ac:dyDescent="0.15">
      <c r="B12" s="43" t="s">
        <v>13</v>
      </c>
      <c r="C12" s="53" t="s">
        <v>14</v>
      </c>
      <c r="D12" s="233"/>
      <c r="E12" s="233"/>
      <c r="F12" s="233"/>
    </row>
    <row r="13" spans="2:6" s="2" customFormat="1" ht="18.75" customHeight="1" x14ac:dyDescent="0.3">
      <c r="B13" s="49" t="s">
        <v>15</v>
      </c>
      <c r="C13" s="226" t="s">
        <v>16</v>
      </c>
      <c r="D13" s="226"/>
      <c r="E13" s="226"/>
      <c r="F13" s="54" t="s">
        <v>178</v>
      </c>
    </row>
    <row r="14" spans="2:6" s="2" customFormat="1" ht="15.95" customHeight="1" x14ac:dyDescent="0.3">
      <c r="B14" s="55" t="s">
        <v>17</v>
      </c>
      <c r="C14" s="229" t="s">
        <v>18</v>
      </c>
      <c r="D14" s="229"/>
      <c r="E14" s="229"/>
      <c r="F14" s="56">
        <v>12</v>
      </c>
    </row>
    <row r="15" spans="2:6" s="2" customFormat="1" x14ac:dyDescent="0.3">
      <c r="B15" s="55" t="s">
        <v>19</v>
      </c>
      <c r="C15" s="219" t="s">
        <v>20</v>
      </c>
      <c r="D15" s="219"/>
      <c r="E15" s="219"/>
      <c r="F15" s="57">
        <v>1</v>
      </c>
    </row>
    <row r="16" spans="2:6" s="2" customFormat="1" x14ac:dyDescent="0.3">
      <c r="B16" s="6"/>
      <c r="C16" s="7"/>
      <c r="D16" s="7"/>
      <c r="E16" s="7"/>
      <c r="F16" s="8"/>
    </row>
    <row r="17" spans="2:6" s="2" customFormat="1" ht="25.5" x14ac:dyDescent="0.5">
      <c r="B17" s="37" t="s">
        <v>21</v>
      </c>
      <c r="C17" s="9"/>
      <c r="D17" s="9"/>
      <c r="E17" s="9"/>
      <c r="F17" s="9"/>
    </row>
    <row r="18" spans="2:6" s="2" customFormat="1" ht="9" customHeight="1" x14ac:dyDescent="0.3">
      <c r="B18" s="9"/>
      <c r="C18" s="9"/>
      <c r="D18" s="9"/>
      <c r="E18" s="9"/>
      <c r="F18" s="9"/>
    </row>
    <row r="19" spans="2:6" s="2" customFormat="1" x14ac:dyDescent="0.3">
      <c r="B19" s="49">
        <v>1</v>
      </c>
      <c r="C19" s="191" t="s">
        <v>22</v>
      </c>
      <c r="D19" s="191"/>
      <c r="E19" s="220"/>
      <c r="F19" s="220"/>
    </row>
    <row r="20" spans="2:6" s="2" customFormat="1" x14ac:dyDescent="0.3">
      <c r="B20" s="49">
        <v>2</v>
      </c>
      <c r="C20" s="50" t="s">
        <v>23</v>
      </c>
      <c r="D20" s="220"/>
      <c r="E20" s="220"/>
      <c r="F20" s="220"/>
    </row>
    <row r="21" spans="2:6" s="2" customFormat="1" x14ac:dyDescent="0.3">
      <c r="B21" s="49">
        <v>3</v>
      </c>
      <c r="C21" s="51" t="s">
        <v>24</v>
      </c>
      <c r="D21" s="220"/>
      <c r="E21" s="220"/>
      <c r="F21" s="220"/>
    </row>
    <row r="22" spans="2:6" s="2" customFormat="1" ht="15.95" customHeight="1" x14ac:dyDescent="0.3">
      <c r="B22" s="49">
        <v>4</v>
      </c>
      <c r="C22" s="50" t="s">
        <v>25</v>
      </c>
      <c r="D22" s="220"/>
      <c r="E22" s="220"/>
      <c r="F22" s="220"/>
    </row>
    <row r="23" spans="2:6" s="2" customFormat="1" ht="15" customHeight="1" x14ac:dyDescent="0.3">
      <c r="B23" s="49">
        <v>5</v>
      </c>
      <c r="C23" s="191" t="s">
        <v>26</v>
      </c>
      <c r="D23" s="191"/>
      <c r="E23" s="191"/>
      <c r="F23" s="52">
        <v>43101</v>
      </c>
    </row>
    <row r="24" spans="2:6" s="2" customFormat="1" ht="15" customHeight="1" x14ac:dyDescent="0.3">
      <c r="B24" s="10"/>
      <c r="C24" s="11"/>
      <c r="D24" s="11"/>
      <c r="E24" s="11"/>
      <c r="F24" s="36"/>
    </row>
    <row r="25" spans="2:6" s="2" customFormat="1" ht="15" customHeight="1" x14ac:dyDescent="0.15">
      <c r="B25" s="200" t="s">
        <v>27</v>
      </c>
      <c r="C25" s="200"/>
      <c r="D25" s="200"/>
      <c r="E25" s="200"/>
      <c r="F25" s="200"/>
    </row>
    <row r="26" spans="2:6" s="2" customFormat="1" ht="15" customHeight="1" x14ac:dyDescent="0.15">
      <c r="B26" s="43" t="s">
        <v>10</v>
      </c>
      <c r="C26" s="192" t="s">
        <v>28</v>
      </c>
      <c r="D26" s="192"/>
      <c r="E26" s="192"/>
      <c r="F26" s="47">
        <v>2397.73</v>
      </c>
    </row>
    <row r="27" spans="2:6" s="2" customFormat="1" ht="15" customHeight="1" x14ac:dyDescent="0.15">
      <c r="B27" s="43" t="s">
        <v>13</v>
      </c>
      <c r="C27" s="193" t="s">
        <v>29</v>
      </c>
      <c r="D27" s="193"/>
      <c r="E27" s="193"/>
      <c r="F27" s="48"/>
    </row>
    <row r="28" spans="2:6" s="2" customFormat="1" ht="15" customHeight="1" x14ac:dyDescent="0.15">
      <c r="B28" s="43" t="s">
        <v>15</v>
      </c>
      <c r="C28" s="201" t="s">
        <v>30</v>
      </c>
      <c r="D28" s="201"/>
      <c r="E28" s="201"/>
      <c r="F28" s="47">
        <v>998</v>
      </c>
    </row>
    <row r="29" spans="2:6" s="2" customFormat="1" ht="15.95" customHeight="1" x14ac:dyDescent="0.15">
      <c r="B29" s="43" t="s">
        <v>17</v>
      </c>
      <c r="C29" s="196" t="s">
        <v>31</v>
      </c>
      <c r="D29" s="197"/>
      <c r="E29" s="198"/>
      <c r="F29" s="47"/>
    </row>
    <row r="30" spans="2:6" s="2" customFormat="1" ht="15.95" customHeight="1" x14ac:dyDescent="0.15">
      <c r="B30" s="12"/>
      <c r="C30" s="12"/>
      <c r="D30" s="12"/>
      <c r="E30" s="13"/>
      <c r="F30" s="14"/>
    </row>
    <row r="31" spans="2:6" s="2" customFormat="1" ht="15.95" customHeight="1" x14ac:dyDescent="0.15">
      <c r="B31" s="199" t="s">
        <v>32</v>
      </c>
      <c r="C31" s="199"/>
      <c r="D31" s="199"/>
      <c r="E31" s="41" t="s">
        <v>33</v>
      </c>
      <c r="F31" s="42" t="s">
        <v>34</v>
      </c>
    </row>
    <row r="32" spans="2:6" s="2" customFormat="1" ht="15.95" customHeight="1" x14ac:dyDescent="0.3">
      <c r="B32" s="43" t="s">
        <v>10</v>
      </c>
      <c r="C32" s="191" t="s">
        <v>35</v>
      </c>
      <c r="D32" s="191"/>
      <c r="E32" s="44" t="s">
        <v>36</v>
      </c>
      <c r="F32" s="45">
        <v>11.7</v>
      </c>
    </row>
    <row r="33" spans="2:6" s="2" customFormat="1" ht="15.95" customHeight="1" x14ac:dyDescent="0.3">
      <c r="B33" s="43" t="s">
        <v>13</v>
      </c>
      <c r="C33" s="202" t="s">
        <v>37</v>
      </c>
      <c r="D33" s="202"/>
      <c r="E33" s="46" t="s">
        <v>36</v>
      </c>
      <c r="F33" s="45">
        <v>33</v>
      </c>
    </row>
    <row r="34" spans="2:6" s="2" customFormat="1" ht="15.95" customHeight="1" x14ac:dyDescent="0.3">
      <c r="B34" s="43" t="s">
        <v>15</v>
      </c>
      <c r="C34" s="191" t="s">
        <v>182</v>
      </c>
      <c r="D34" s="191"/>
      <c r="E34" s="44" t="s">
        <v>183</v>
      </c>
      <c r="F34" s="45">
        <v>149</v>
      </c>
    </row>
    <row r="35" spans="2:6" s="2" customFormat="1" ht="15.95" customHeight="1" x14ac:dyDescent="0.3">
      <c r="B35" s="43" t="s">
        <v>17</v>
      </c>
      <c r="C35" s="202" t="s">
        <v>186</v>
      </c>
      <c r="D35" s="202"/>
      <c r="E35" s="46" t="s">
        <v>183</v>
      </c>
      <c r="F35" s="45">
        <v>10.3</v>
      </c>
    </row>
    <row r="36" spans="2:6" s="2" customFormat="1" ht="15.95" customHeight="1" x14ac:dyDescent="0.3">
      <c r="B36" s="43" t="s">
        <v>19</v>
      </c>
      <c r="C36" s="191" t="s">
        <v>185</v>
      </c>
      <c r="D36" s="191"/>
      <c r="E36" s="44" t="s">
        <v>183</v>
      </c>
      <c r="F36" s="45">
        <v>2</v>
      </c>
    </row>
    <row r="37" spans="2:6" s="16" customFormat="1" x14ac:dyDescent="0.3">
      <c r="B37" s="11"/>
      <c r="C37" s="15"/>
      <c r="D37" s="15"/>
      <c r="E37" s="1"/>
      <c r="F37" s="9"/>
    </row>
    <row r="38" spans="2:6" s="2" customFormat="1" ht="15.95" customHeight="1" x14ac:dyDescent="0.15">
      <c r="B38" s="190" t="s">
        <v>38</v>
      </c>
      <c r="C38" s="190"/>
      <c r="D38" s="190"/>
      <c r="E38" s="190"/>
      <c r="F38" s="58" t="s">
        <v>34</v>
      </c>
    </row>
    <row r="39" spans="2:6" s="2" customFormat="1" x14ac:dyDescent="0.3">
      <c r="B39" s="49" t="s">
        <v>10</v>
      </c>
      <c r="C39" s="201" t="s">
        <v>39</v>
      </c>
      <c r="D39" s="201"/>
      <c r="E39" s="201"/>
      <c r="F39" s="59">
        <v>166.57</v>
      </c>
    </row>
    <row r="40" spans="2:6" s="2" customFormat="1" ht="15.95" customHeight="1" x14ac:dyDescent="0.3">
      <c r="B40" s="49" t="s">
        <v>13</v>
      </c>
      <c r="C40" s="193" t="s">
        <v>40</v>
      </c>
      <c r="D40" s="193"/>
      <c r="E40" s="193"/>
      <c r="F40" s="59"/>
    </row>
    <row r="41" spans="2:6" s="2" customFormat="1" ht="15.95" customHeight="1" x14ac:dyDescent="0.3">
      <c r="B41" s="60" t="s">
        <v>15</v>
      </c>
      <c r="C41" s="196" t="s">
        <v>188</v>
      </c>
      <c r="D41" s="197"/>
      <c r="E41" s="198"/>
      <c r="F41" s="61">
        <v>26.37</v>
      </c>
    </row>
    <row r="42" spans="2:6" s="2" customFormat="1" ht="15.95" customHeight="1" x14ac:dyDescent="0.3">
      <c r="B42" s="100"/>
      <c r="C42" s="20"/>
      <c r="D42" s="20"/>
      <c r="E42" s="20"/>
      <c r="F42" s="101"/>
    </row>
    <row r="43" spans="2:6" s="2" customFormat="1" ht="15.95" customHeight="1" x14ac:dyDescent="0.15">
      <c r="B43" s="190" t="s">
        <v>41</v>
      </c>
      <c r="C43" s="190"/>
      <c r="D43" s="190"/>
      <c r="E43" s="190"/>
      <c r="F43" s="58" t="s">
        <v>42</v>
      </c>
    </row>
    <row r="44" spans="2:6" s="2" customFormat="1" x14ac:dyDescent="0.3">
      <c r="B44" s="49" t="s">
        <v>10</v>
      </c>
      <c r="C44" s="196" t="s">
        <v>31</v>
      </c>
      <c r="D44" s="197"/>
      <c r="E44" s="198"/>
      <c r="F44" s="102"/>
    </row>
    <row r="45" spans="2:6" s="2" customFormat="1" x14ac:dyDescent="0.3">
      <c r="B45" s="17"/>
      <c r="C45" s="17"/>
      <c r="D45" s="17"/>
      <c r="E45" s="17"/>
      <c r="F45" s="18"/>
    </row>
    <row r="46" spans="2:6" s="2" customFormat="1" ht="15.95" customHeight="1" x14ac:dyDescent="0.15">
      <c r="B46" s="190" t="s">
        <v>43</v>
      </c>
      <c r="C46" s="190"/>
      <c r="D46" s="190"/>
      <c r="E46" s="190"/>
      <c r="F46" s="58" t="s">
        <v>42</v>
      </c>
    </row>
    <row r="47" spans="2:6" s="2" customFormat="1" x14ac:dyDescent="0.3">
      <c r="B47" s="49" t="s">
        <v>10</v>
      </c>
      <c r="C47" s="201" t="s">
        <v>44</v>
      </c>
      <c r="D47" s="201"/>
      <c r="E47" s="201"/>
      <c r="F47" s="102">
        <v>5.31</v>
      </c>
    </row>
    <row r="48" spans="2:6" s="2" customFormat="1" x14ac:dyDescent="0.3">
      <c r="B48" s="49" t="s">
        <v>13</v>
      </c>
      <c r="C48" s="201" t="s">
        <v>45</v>
      </c>
      <c r="D48" s="201"/>
      <c r="E48" s="201"/>
      <c r="F48" s="102">
        <v>7.2</v>
      </c>
    </row>
    <row r="49" spans="2:6" s="115" customFormat="1" x14ac:dyDescent="0.3">
      <c r="B49" s="49" t="s">
        <v>15</v>
      </c>
      <c r="C49" s="201" t="s">
        <v>46</v>
      </c>
      <c r="D49" s="201"/>
      <c r="E49" s="201"/>
      <c r="F49" s="102">
        <v>0.65</v>
      </c>
    </row>
    <row r="50" spans="2:6" s="115" customFormat="1" x14ac:dyDescent="0.3">
      <c r="B50" s="49" t="s">
        <v>17</v>
      </c>
      <c r="C50" s="201" t="s">
        <v>47</v>
      </c>
      <c r="D50" s="201"/>
      <c r="E50" s="201"/>
      <c r="F50" s="102">
        <v>3</v>
      </c>
    </row>
    <row r="51" spans="2:6" s="115" customFormat="1" x14ac:dyDescent="0.3">
      <c r="B51" s="49" t="s">
        <v>19</v>
      </c>
      <c r="C51" s="201" t="s">
        <v>48</v>
      </c>
      <c r="D51" s="201"/>
      <c r="E51" s="201"/>
      <c r="F51" s="102">
        <v>5</v>
      </c>
    </row>
    <row r="52" spans="2:6" s="2" customFormat="1" x14ac:dyDescent="0.3">
      <c r="B52" s="19"/>
      <c r="C52" s="20"/>
      <c r="D52" s="20"/>
      <c r="E52" s="20"/>
      <c r="F52" s="21"/>
    </row>
    <row r="53" spans="2:6" ht="90" customHeight="1" x14ac:dyDescent="0.3">
      <c r="B53" s="189" t="s">
        <v>49</v>
      </c>
      <c r="C53" s="189"/>
      <c r="D53" s="189"/>
      <c r="E53" s="189"/>
      <c r="F53" s="189"/>
    </row>
    <row r="54" spans="2:6" ht="16.5" customHeight="1" x14ac:dyDescent="0.3">
      <c r="B54" s="38"/>
      <c r="C54" s="1"/>
      <c r="D54" s="22"/>
      <c r="E54" s="17"/>
      <c r="F54" s="17"/>
    </row>
    <row r="55" spans="2:6" x14ac:dyDescent="0.3">
      <c r="B55" s="39" t="s">
        <v>50</v>
      </c>
      <c r="C55" s="23"/>
      <c r="D55" s="23"/>
      <c r="E55" s="17"/>
      <c r="F55" s="17"/>
    </row>
    <row r="56" spans="2:6" x14ac:dyDescent="0.3">
      <c r="B56" s="43">
        <v>1</v>
      </c>
      <c r="C56" s="208" t="s">
        <v>27</v>
      </c>
      <c r="D56" s="208"/>
      <c r="E56" s="208"/>
      <c r="F56" s="62" t="s">
        <v>34</v>
      </c>
    </row>
    <row r="57" spans="2:6" x14ac:dyDescent="0.3">
      <c r="B57" s="43" t="s">
        <v>10</v>
      </c>
      <c r="C57" s="192" t="s">
        <v>51</v>
      </c>
      <c r="D57" s="192"/>
      <c r="E57" s="192"/>
      <c r="F57" s="63">
        <f>F26</f>
        <v>2397.73</v>
      </c>
    </row>
    <row r="58" spans="2:6" x14ac:dyDescent="0.3">
      <c r="B58" s="43" t="s">
        <v>13</v>
      </c>
      <c r="C58" s="193" t="s">
        <v>52</v>
      </c>
      <c r="D58" s="193"/>
      <c r="E58" s="193"/>
      <c r="F58" s="64">
        <f>F27%*$F$28</f>
        <v>0</v>
      </c>
    </row>
    <row r="59" spans="2:6" x14ac:dyDescent="0.3">
      <c r="B59" s="43" t="s">
        <v>15</v>
      </c>
      <c r="C59" s="194" t="str">
        <f>C29</f>
        <v>Outros (Especificar)</v>
      </c>
      <c r="D59" s="195"/>
      <c r="E59" s="195"/>
      <c r="F59" s="63">
        <f>F29</f>
        <v>0</v>
      </c>
    </row>
    <row r="60" spans="2:6" x14ac:dyDescent="0.3">
      <c r="B60" s="209" t="s">
        <v>53</v>
      </c>
      <c r="C60" s="209"/>
      <c r="D60" s="209"/>
      <c r="E60" s="209"/>
      <c r="F60" s="65">
        <f>SUM(F57:F59)</f>
        <v>2397.73</v>
      </c>
    </row>
    <row r="61" spans="2:6" s="2" customFormat="1" x14ac:dyDescent="0.15">
      <c r="B61" s="15"/>
      <c r="C61" s="15"/>
      <c r="D61" s="15"/>
      <c r="E61" s="24"/>
      <c r="F61" s="24"/>
    </row>
    <row r="62" spans="2:6" x14ac:dyDescent="0.3">
      <c r="B62" s="39" t="s">
        <v>54</v>
      </c>
      <c r="C62" s="23"/>
      <c r="D62" s="23"/>
      <c r="E62" s="25"/>
      <c r="F62" s="25"/>
    </row>
    <row r="63" spans="2:6" x14ac:dyDescent="0.3">
      <c r="B63" s="39" t="s">
        <v>55</v>
      </c>
      <c r="C63" s="15"/>
      <c r="D63" s="26"/>
      <c r="E63" s="24"/>
      <c r="F63" s="24"/>
    </row>
    <row r="64" spans="2:6" x14ac:dyDescent="0.3">
      <c r="B64" s="43" t="s">
        <v>56</v>
      </c>
      <c r="C64" s="190" t="s">
        <v>57</v>
      </c>
      <c r="D64" s="190"/>
      <c r="E64" s="62" t="s">
        <v>42</v>
      </c>
      <c r="F64" s="62" t="s">
        <v>34</v>
      </c>
    </row>
    <row r="65" spans="2:6" x14ac:dyDescent="0.3">
      <c r="B65" s="43" t="s">
        <v>10</v>
      </c>
      <c r="C65" s="201" t="s">
        <v>58</v>
      </c>
      <c r="D65" s="201"/>
      <c r="E65" s="66">
        <f>(1/12)*100</f>
        <v>8.33</v>
      </c>
      <c r="F65" s="67">
        <f>E65%*$F$60</f>
        <v>199.73</v>
      </c>
    </row>
    <row r="66" spans="2:6" x14ac:dyDescent="0.3">
      <c r="B66" s="68" t="s">
        <v>13</v>
      </c>
      <c r="C66" s="193" t="s">
        <v>59</v>
      </c>
      <c r="D66" s="193"/>
      <c r="E66" s="69">
        <f>(1/3)/12*100</f>
        <v>2.78</v>
      </c>
      <c r="F66" s="70">
        <f>E66%*$F$60</f>
        <v>66.66</v>
      </c>
    </row>
    <row r="67" spans="2:6" s="27" customFormat="1" x14ac:dyDescent="0.3">
      <c r="B67" s="190" t="s">
        <v>60</v>
      </c>
      <c r="C67" s="190"/>
      <c r="D67" s="190"/>
      <c r="E67" s="71">
        <f>SUM(E65:E66)</f>
        <v>11.11</v>
      </c>
      <c r="F67" s="72">
        <f>SUM(F65:F66)</f>
        <v>266.39</v>
      </c>
    </row>
    <row r="68" spans="2:6" s="27" customFormat="1" x14ac:dyDescent="0.3">
      <c r="B68" s="68" t="s">
        <v>15</v>
      </c>
      <c r="C68" s="207" t="s">
        <v>61</v>
      </c>
      <c r="D68" s="207"/>
      <c r="E68" s="69">
        <f>E80*E67%</f>
        <v>4.09</v>
      </c>
      <c r="F68" s="70">
        <f>E68%*$F$60</f>
        <v>98.07</v>
      </c>
    </row>
    <row r="69" spans="2:6" s="27" customFormat="1" x14ac:dyDescent="0.3">
      <c r="B69" s="190" t="s">
        <v>53</v>
      </c>
      <c r="C69" s="190"/>
      <c r="D69" s="190"/>
      <c r="E69" s="71">
        <f>E67+E68</f>
        <v>15.2</v>
      </c>
      <c r="F69" s="73">
        <f>F67+F68</f>
        <v>364.46</v>
      </c>
    </row>
    <row r="70" spans="2:6" s="27" customFormat="1" ht="31.5" customHeight="1" x14ac:dyDescent="0.3">
      <c r="B70" s="211" t="s">
        <v>62</v>
      </c>
      <c r="C70" s="211"/>
      <c r="D70" s="211"/>
      <c r="E70" s="211"/>
      <c r="F70" s="211"/>
    </row>
    <row r="71" spans="2:6" s="27" customFormat="1" ht="33.75" customHeight="1" x14ac:dyDescent="0.3">
      <c r="B71" s="43" t="s">
        <v>63</v>
      </c>
      <c r="C71" s="210" t="s">
        <v>64</v>
      </c>
      <c r="D71" s="210"/>
      <c r="E71" s="62" t="s">
        <v>42</v>
      </c>
      <c r="F71" s="62" t="s">
        <v>34</v>
      </c>
    </row>
    <row r="72" spans="2:6" x14ac:dyDescent="0.3">
      <c r="B72" s="43" t="s">
        <v>10</v>
      </c>
      <c r="C72" s="201" t="s">
        <v>65</v>
      </c>
      <c r="D72" s="201"/>
      <c r="E72" s="66">
        <v>20</v>
      </c>
      <c r="F72" s="67">
        <f t="shared" ref="F72:F79" si="0">E72%*$F$60</f>
        <v>479.55</v>
      </c>
    </row>
    <row r="73" spans="2:6" s="2" customFormat="1" x14ac:dyDescent="0.15">
      <c r="B73" s="68" t="s">
        <v>13</v>
      </c>
      <c r="C73" s="193" t="s">
        <v>66</v>
      </c>
      <c r="D73" s="193"/>
      <c r="E73" s="74">
        <v>2.5</v>
      </c>
      <c r="F73" s="70">
        <f t="shared" si="0"/>
        <v>59.94</v>
      </c>
    </row>
    <row r="74" spans="2:6" s="2" customFormat="1" x14ac:dyDescent="0.15">
      <c r="B74" s="68" t="s">
        <v>15</v>
      </c>
      <c r="C74" s="201" t="s">
        <v>67</v>
      </c>
      <c r="D74" s="201"/>
      <c r="E74" s="66">
        <v>3</v>
      </c>
      <c r="F74" s="67">
        <f t="shared" si="0"/>
        <v>71.930000000000007</v>
      </c>
    </row>
    <row r="75" spans="2:6" s="2" customFormat="1" x14ac:dyDescent="0.15">
      <c r="B75" s="68" t="s">
        <v>17</v>
      </c>
      <c r="C75" s="193" t="s">
        <v>68</v>
      </c>
      <c r="D75" s="193"/>
      <c r="E75" s="69">
        <v>1.5</v>
      </c>
      <c r="F75" s="70">
        <f t="shared" si="0"/>
        <v>35.97</v>
      </c>
    </row>
    <row r="76" spans="2:6" s="2" customFormat="1" x14ac:dyDescent="0.15">
      <c r="B76" s="68" t="s">
        <v>19</v>
      </c>
      <c r="C76" s="201" t="s">
        <v>69</v>
      </c>
      <c r="D76" s="201"/>
      <c r="E76" s="66">
        <v>1</v>
      </c>
      <c r="F76" s="67">
        <f t="shared" si="0"/>
        <v>23.98</v>
      </c>
    </row>
    <row r="77" spans="2:6" s="2" customFormat="1" x14ac:dyDescent="0.15">
      <c r="B77" s="68" t="s">
        <v>70</v>
      </c>
      <c r="C77" s="193" t="s">
        <v>71</v>
      </c>
      <c r="D77" s="193"/>
      <c r="E77" s="74">
        <v>0.6</v>
      </c>
      <c r="F77" s="70">
        <f t="shared" si="0"/>
        <v>14.39</v>
      </c>
    </row>
    <row r="78" spans="2:6" s="2" customFormat="1" x14ac:dyDescent="0.15">
      <c r="B78" s="68" t="s">
        <v>72</v>
      </c>
      <c r="C78" s="201" t="s">
        <v>73</v>
      </c>
      <c r="D78" s="201"/>
      <c r="E78" s="66">
        <v>0.2</v>
      </c>
      <c r="F78" s="67">
        <f t="shared" si="0"/>
        <v>4.8</v>
      </c>
    </row>
    <row r="79" spans="2:6" x14ac:dyDescent="0.3">
      <c r="B79" s="68" t="s">
        <v>74</v>
      </c>
      <c r="C79" s="193" t="s">
        <v>75</v>
      </c>
      <c r="D79" s="193"/>
      <c r="E79" s="74">
        <v>8</v>
      </c>
      <c r="F79" s="70">
        <f t="shared" si="0"/>
        <v>191.82</v>
      </c>
    </row>
    <row r="80" spans="2:6" x14ac:dyDescent="0.3">
      <c r="B80" s="190" t="s">
        <v>53</v>
      </c>
      <c r="C80" s="190"/>
      <c r="D80" s="190"/>
      <c r="E80" s="71">
        <f>SUM(E72:E79)</f>
        <v>36.799999999999997</v>
      </c>
      <c r="F80" s="73">
        <f>SUM(F72:F79)</f>
        <v>882.38</v>
      </c>
    </row>
    <row r="81" spans="2:6" ht="15.75" customHeight="1" x14ac:dyDescent="0.3">
      <c r="B81" s="39" t="s">
        <v>76</v>
      </c>
      <c r="C81" s="2"/>
      <c r="D81" s="2"/>
      <c r="E81" s="2"/>
      <c r="F81" s="2"/>
    </row>
    <row r="82" spans="2:6" ht="15.75" customHeight="1" x14ac:dyDescent="0.3">
      <c r="B82" s="43" t="s">
        <v>77</v>
      </c>
      <c r="C82" s="208" t="s">
        <v>78</v>
      </c>
      <c r="D82" s="208"/>
      <c r="E82" s="208"/>
      <c r="F82" s="62" t="s">
        <v>34</v>
      </c>
    </row>
    <row r="83" spans="2:6" x14ac:dyDescent="0.3">
      <c r="B83" s="49" t="s">
        <v>10</v>
      </c>
      <c r="C83" s="201" t="s">
        <v>35</v>
      </c>
      <c r="D83" s="201"/>
      <c r="E83" s="201"/>
      <c r="F83" s="67">
        <f>IF(((F32*22)-(6%*$F$26))&gt;0,((F32*22)-(6%*$F$26)),0)</f>
        <v>113.54</v>
      </c>
    </row>
    <row r="84" spans="2:6" s="27" customFormat="1" x14ac:dyDescent="0.3">
      <c r="B84" s="49" t="s">
        <v>13</v>
      </c>
      <c r="C84" s="193" t="s">
        <v>37</v>
      </c>
      <c r="D84" s="193"/>
      <c r="E84" s="193"/>
      <c r="F84" s="70">
        <f>F33*22</f>
        <v>726</v>
      </c>
    </row>
    <row r="85" spans="2:6" s="27" customFormat="1" x14ac:dyDescent="0.3">
      <c r="B85" s="49" t="s">
        <v>15</v>
      </c>
      <c r="C85" s="201" t="str">
        <f>C34</f>
        <v>Auxílio-saúde</v>
      </c>
      <c r="D85" s="201"/>
      <c r="E85" s="201"/>
      <c r="F85" s="67">
        <f>F34</f>
        <v>149</v>
      </c>
    </row>
    <row r="86" spans="2:6" s="2" customFormat="1" ht="15.95" customHeight="1" x14ac:dyDescent="0.3">
      <c r="B86" s="49" t="s">
        <v>17</v>
      </c>
      <c r="C86" s="193" t="s">
        <v>186</v>
      </c>
      <c r="D86" s="193"/>
      <c r="E86" s="193"/>
      <c r="F86" s="70">
        <f>F35</f>
        <v>10.3</v>
      </c>
    </row>
    <row r="87" spans="2:6" s="2" customFormat="1" ht="15.95" customHeight="1" x14ac:dyDescent="0.3">
      <c r="B87" s="49" t="s">
        <v>19</v>
      </c>
      <c r="C87" s="201" t="s">
        <v>185</v>
      </c>
      <c r="D87" s="201"/>
      <c r="E87" s="201"/>
      <c r="F87" s="67">
        <v>2</v>
      </c>
    </row>
    <row r="88" spans="2:6" s="27" customFormat="1" ht="15" customHeight="1" x14ac:dyDescent="0.3">
      <c r="B88" s="203" t="s">
        <v>53</v>
      </c>
      <c r="C88" s="203"/>
      <c r="D88" s="203"/>
      <c r="E88" s="203"/>
      <c r="F88" s="139">
        <f>SUM(F83:F87)</f>
        <v>1000.84</v>
      </c>
    </row>
    <row r="89" spans="2:6" s="27" customFormat="1" x14ac:dyDescent="0.3">
      <c r="B89" s="15"/>
      <c r="C89" s="15"/>
      <c r="D89" s="15"/>
      <c r="E89" s="24"/>
      <c r="F89" s="24"/>
    </row>
    <row r="90" spans="2:6" s="27" customFormat="1" x14ac:dyDescent="0.3">
      <c r="B90" s="39" t="s">
        <v>79</v>
      </c>
      <c r="C90" s="15"/>
      <c r="D90" s="26"/>
      <c r="E90" s="24"/>
      <c r="F90" s="24"/>
    </row>
    <row r="91" spans="2:6" s="27" customFormat="1" ht="15" customHeight="1" x14ac:dyDescent="0.3">
      <c r="B91" s="75">
        <v>3</v>
      </c>
      <c r="C91" s="190" t="s">
        <v>80</v>
      </c>
      <c r="D91" s="190"/>
      <c r="E91" s="62" t="s">
        <v>42</v>
      </c>
      <c r="F91" s="62" t="s">
        <v>34</v>
      </c>
    </row>
    <row r="92" spans="2:6" s="27" customFormat="1" x14ac:dyDescent="0.3">
      <c r="B92" s="75" t="s">
        <v>10</v>
      </c>
      <c r="C92" s="201" t="s">
        <v>81</v>
      </c>
      <c r="D92" s="201"/>
      <c r="E92" s="66">
        <f>20.19%*1/12*100</f>
        <v>1.68</v>
      </c>
      <c r="F92" s="67">
        <f t="shared" ref="F92:F97" si="1">E92%*$F$60</f>
        <v>40.28</v>
      </c>
    </row>
    <row r="93" spans="2:6" s="27" customFormat="1" x14ac:dyDescent="0.3">
      <c r="B93" s="76" t="s">
        <v>13</v>
      </c>
      <c r="C93" s="193" t="s">
        <v>82</v>
      </c>
      <c r="D93" s="193"/>
      <c r="E93" s="74">
        <f>E79%*E92</f>
        <v>0.13</v>
      </c>
      <c r="F93" s="70">
        <f t="shared" si="1"/>
        <v>3.12</v>
      </c>
    </row>
    <row r="94" spans="2:6" s="2" customFormat="1" x14ac:dyDescent="0.15">
      <c r="B94" s="76" t="s">
        <v>15</v>
      </c>
      <c r="C94" s="201" t="s">
        <v>83</v>
      </c>
      <c r="D94" s="201"/>
      <c r="E94" s="66">
        <f>E92%*(40%+10%)*E79%*100</f>
        <v>7.0000000000000007E-2</v>
      </c>
      <c r="F94" s="67">
        <f t="shared" si="1"/>
        <v>1.68</v>
      </c>
    </row>
    <row r="95" spans="2:6" s="27" customFormat="1" x14ac:dyDescent="0.3">
      <c r="B95" s="76" t="s">
        <v>17</v>
      </c>
      <c r="C95" s="193" t="s">
        <v>84</v>
      </c>
      <c r="D95" s="193"/>
      <c r="E95" s="74">
        <f>20.19%*(7/30)/12*100</f>
        <v>0.39</v>
      </c>
      <c r="F95" s="70">
        <f t="shared" si="1"/>
        <v>9.35</v>
      </c>
    </row>
    <row r="96" spans="2:6" s="2" customFormat="1" x14ac:dyDescent="0.15">
      <c r="B96" s="76" t="s">
        <v>19</v>
      </c>
      <c r="C96" s="201" t="s">
        <v>85</v>
      </c>
      <c r="D96" s="201"/>
      <c r="E96" s="66">
        <f>E95%*E80</f>
        <v>0.14000000000000001</v>
      </c>
      <c r="F96" s="67">
        <f t="shared" si="1"/>
        <v>3.36</v>
      </c>
    </row>
    <row r="97" spans="2:6" s="2" customFormat="1" x14ac:dyDescent="0.15">
      <c r="B97" s="76" t="s">
        <v>70</v>
      </c>
      <c r="C97" s="193" t="s">
        <v>86</v>
      </c>
      <c r="D97" s="193"/>
      <c r="E97" s="74">
        <f>E95%*(40%+10%)*E79%*100</f>
        <v>0.02</v>
      </c>
      <c r="F97" s="70">
        <f t="shared" si="1"/>
        <v>0.48</v>
      </c>
    </row>
    <row r="98" spans="2:6" s="2" customFormat="1" x14ac:dyDescent="0.3">
      <c r="B98" s="204" t="s">
        <v>60</v>
      </c>
      <c r="C98" s="190"/>
      <c r="D98" s="190"/>
      <c r="E98" s="71">
        <f>ROUNDDOWN(SUM(E92:E97),2)</f>
        <v>2.4300000000000002</v>
      </c>
      <c r="F98" s="72">
        <f>SUM(F92:F97)</f>
        <v>58.27</v>
      </c>
    </row>
    <row r="99" spans="2:6" s="2" customFormat="1" x14ac:dyDescent="0.15">
      <c r="B99" s="76" t="s">
        <v>72</v>
      </c>
      <c r="C99" s="193" t="s">
        <v>87</v>
      </c>
      <c r="D99" s="193"/>
      <c r="E99" s="69">
        <f>E80*E98%</f>
        <v>0.89</v>
      </c>
      <c r="F99" s="70">
        <f>E99%*$F$60</f>
        <v>21.34</v>
      </c>
    </row>
    <row r="100" spans="2:6" s="2" customFormat="1" ht="15.95" customHeight="1" x14ac:dyDescent="0.15">
      <c r="B100" s="205" t="s">
        <v>53</v>
      </c>
      <c r="C100" s="206"/>
      <c r="D100" s="206"/>
      <c r="E100" s="77">
        <f>SUM(E98:E99)</f>
        <v>3.32</v>
      </c>
      <c r="F100" s="78">
        <f>SUM(F98:F99)</f>
        <v>79.61</v>
      </c>
    </row>
    <row r="101" spans="2:6" s="2" customFormat="1" x14ac:dyDescent="0.15">
      <c r="B101" s="15"/>
      <c r="C101" s="15"/>
      <c r="D101" s="15"/>
      <c r="E101" s="24"/>
      <c r="F101" s="24"/>
    </row>
    <row r="102" spans="2:6" s="2" customFormat="1" ht="15.95" customHeight="1" x14ac:dyDescent="0.3">
      <c r="B102" s="39" t="s">
        <v>88</v>
      </c>
      <c r="C102" s="15"/>
      <c r="D102" s="26"/>
      <c r="E102" s="1"/>
      <c r="F102" s="1"/>
    </row>
    <row r="103" spans="2:6" s="2" customFormat="1" ht="15.95" customHeight="1" x14ac:dyDescent="0.3">
      <c r="B103" s="39" t="s">
        <v>89</v>
      </c>
      <c r="C103" s="15"/>
      <c r="D103" s="26"/>
      <c r="E103" s="24"/>
      <c r="F103" s="24"/>
    </row>
    <row r="104" spans="2:6" s="2" customFormat="1" x14ac:dyDescent="0.15">
      <c r="B104" s="43" t="s">
        <v>90</v>
      </c>
      <c r="C104" s="206" t="s">
        <v>41</v>
      </c>
      <c r="D104" s="206"/>
      <c r="E104" s="62" t="s">
        <v>42</v>
      </c>
      <c r="F104" s="62" t="s">
        <v>34</v>
      </c>
    </row>
    <row r="105" spans="2:6" s="2" customFormat="1" ht="15.95" customHeight="1" x14ac:dyDescent="0.15">
      <c r="B105" s="68" t="s">
        <v>10</v>
      </c>
      <c r="C105" s="201" t="s">
        <v>91</v>
      </c>
      <c r="D105" s="201"/>
      <c r="E105" s="66">
        <f>(1/12)*100</f>
        <v>8.33</v>
      </c>
      <c r="F105" s="67">
        <f t="shared" ref="F105:F110" si="2">E105%*$F$60</f>
        <v>199.73</v>
      </c>
    </row>
    <row r="106" spans="2:6" s="2" customFormat="1" ht="15.95" customHeight="1" x14ac:dyDescent="0.15">
      <c r="B106" s="68" t="s">
        <v>13</v>
      </c>
      <c r="C106" s="193" t="s">
        <v>41</v>
      </c>
      <c r="D106" s="193"/>
      <c r="E106" s="74">
        <f>(8/30)/12*100</f>
        <v>2.2200000000000002</v>
      </c>
      <c r="F106" s="70">
        <f t="shared" si="2"/>
        <v>53.23</v>
      </c>
    </row>
    <row r="107" spans="2:6" s="2" customFormat="1" ht="15.95" customHeight="1" x14ac:dyDescent="0.15">
      <c r="B107" s="68" t="s">
        <v>15</v>
      </c>
      <c r="C107" s="201" t="s">
        <v>92</v>
      </c>
      <c r="D107" s="201"/>
      <c r="E107" s="66">
        <f>(((20/30)/12)*1.5%)*100</f>
        <v>0.08</v>
      </c>
      <c r="F107" s="67">
        <f t="shared" si="2"/>
        <v>1.92</v>
      </c>
    </row>
    <row r="108" spans="2:6" s="2" customFormat="1" x14ac:dyDescent="0.15">
      <c r="B108" s="68" t="s">
        <v>17</v>
      </c>
      <c r="C108" s="193" t="s">
        <v>93</v>
      </c>
      <c r="D108" s="193"/>
      <c r="E108" s="74">
        <f>(15/30)/12*0.86%*100</f>
        <v>0.04</v>
      </c>
      <c r="F108" s="70">
        <f t="shared" si="2"/>
        <v>0.96</v>
      </c>
    </row>
    <row r="109" spans="2:6" s="2" customFormat="1" x14ac:dyDescent="0.15">
      <c r="B109" s="68" t="s">
        <v>19</v>
      </c>
      <c r="C109" s="201" t="s">
        <v>94</v>
      </c>
      <c r="D109" s="201"/>
      <c r="E109" s="66">
        <f>((6/12)*36.8%*62.2%*81.2%*((1.86/31))/12)*100</f>
        <v>0.05</v>
      </c>
      <c r="F109" s="67">
        <f t="shared" si="2"/>
        <v>1.2</v>
      </c>
    </row>
    <row r="110" spans="2:6" s="2" customFormat="1" x14ac:dyDescent="0.15">
      <c r="B110" s="68" t="s">
        <v>70</v>
      </c>
      <c r="C110" s="214" t="str">
        <f>C44</f>
        <v>Outros (Especificar)</v>
      </c>
      <c r="D110" s="193"/>
      <c r="E110" s="103">
        <f>$F$44</f>
        <v>0</v>
      </c>
      <c r="F110" s="70">
        <f t="shared" si="2"/>
        <v>0</v>
      </c>
    </row>
    <row r="111" spans="2:6" s="2" customFormat="1" x14ac:dyDescent="0.3">
      <c r="B111" s="190" t="s">
        <v>60</v>
      </c>
      <c r="C111" s="190"/>
      <c r="D111" s="190"/>
      <c r="E111" s="71">
        <f>SUM(E105:E110)</f>
        <v>10.72</v>
      </c>
      <c r="F111" s="72">
        <f>SUM(F105:F110)</f>
        <v>257.04000000000002</v>
      </c>
    </row>
    <row r="112" spans="2:6" s="2" customFormat="1" x14ac:dyDescent="0.15">
      <c r="B112" s="68" t="s">
        <v>72</v>
      </c>
      <c r="C112" s="193" t="s">
        <v>95</v>
      </c>
      <c r="D112" s="193"/>
      <c r="E112" s="69">
        <f>ROUNDDOWN(E80*E111%,2)</f>
        <v>3.94</v>
      </c>
      <c r="F112" s="70">
        <f>E112%*$F$60</f>
        <v>94.47</v>
      </c>
    </row>
    <row r="113" spans="2:6" s="2" customFormat="1" ht="15.75" customHeight="1" x14ac:dyDescent="0.15">
      <c r="B113" s="206" t="s">
        <v>53</v>
      </c>
      <c r="C113" s="206"/>
      <c r="D113" s="206"/>
      <c r="E113" s="77">
        <f>SUM(E111:E112)</f>
        <v>14.66</v>
      </c>
      <c r="F113" s="79">
        <f>SUM(F111:F112)</f>
        <v>351.51</v>
      </c>
    </row>
    <row r="114" spans="2:6" x14ac:dyDescent="0.3">
      <c r="B114" s="26"/>
      <c r="C114" s="20"/>
      <c r="D114" s="28"/>
      <c r="E114" s="20"/>
      <c r="F114" s="29"/>
    </row>
    <row r="115" spans="2:6" x14ac:dyDescent="0.3">
      <c r="B115" s="39" t="s">
        <v>96</v>
      </c>
      <c r="C115" s="15"/>
      <c r="D115" s="15"/>
      <c r="E115" s="24"/>
      <c r="F115" s="24"/>
    </row>
    <row r="116" spans="2:6" ht="15.75" customHeight="1" x14ac:dyDescent="0.3">
      <c r="B116" s="43">
        <v>5</v>
      </c>
      <c r="C116" s="208" t="s">
        <v>38</v>
      </c>
      <c r="D116" s="208"/>
      <c r="E116" s="208"/>
      <c r="F116" s="62" t="s">
        <v>34</v>
      </c>
    </row>
    <row r="117" spans="2:6" x14ac:dyDescent="0.3">
      <c r="B117" s="49" t="s">
        <v>10</v>
      </c>
      <c r="C117" s="201" t="s">
        <v>39</v>
      </c>
      <c r="D117" s="201"/>
      <c r="E117" s="201"/>
      <c r="F117" s="67">
        <f>F39</f>
        <v>166.57</v>
      </c>
    </row>
    <row r="118" spans="2:6" x14ac:dyDescent="0.3">
      <c r="B118" s="49" t="s">
        <v>13</v>
      </c>
      <c r="C118" s="193" t="s">
        <v>40</v>
      </c>
      <c r="D118" s="193"/>
      <c r="E118" s="193"/>
      <c r="F118" s="70">
        <f>F40</f>
        <v>0</v>
      </c>
    </row>
    <row r="119" spans="2:6" x14ac:dyDescent="0.3">
      <c r="B119" s="49" t="s">
        <v>15</v>
      </c>
      <c r="C119" s="213" t="str">
        <f>C41</f>
        <v>Equipamento</v>
      </c>
      <c r="D119" s="201"/>
      <c r="E119" s="201"/>
      <c r="F119" s="67">
        <f>F41</f>
        <v>26.37</v>
      </c>
    </row>
    <row r="120" spans="2:6" x14ac:dyDescent="0.3">
      <c r="B120" s="209" t="s">
        <v>53</v>
      </c>
      <c r="C120" s="209"/>
      <c r="D120" s="209"/>
      <c r="E120" s="209"/>
      <c r="F120" s="65">
        <f>SUM(F117:F119)</f>
        <v>192.94</v>
      </c>
    </row>
    <row r="121" spans="2:6" ht="15" customHeight="1" x14ac:dyDescent="0.3">
      <c r="B121" s="26"/>
      <c r="C121" s="20"/>
      <c r="D121" s="28"/>
      <c r="E121" s="20"/>
      <c r="F121" s="29"/>
    </row>
    <row r="122" spans="2:6" ht="15" customHeight="1" x14ac:dyDescent="0.3">
      <c r="B122" s="212" t="s">
        <v>97</v>
      </c>
      <c r="C122" s="212"/>
      <c r="D122" s="212"/>
      <c r="E122" s="212"/>
      <c r="F122" s="212"/>
    </row>
    <row r="123" spans="2:6" x14ac:dyDescent="0.3">
      <c r="B123" s="43">
        <v>6</v>
      </c>
      <c r="C123" s="190" t="s">
        <v>98</v>
      </c>
      <c r="D123" s="190"/>
      <c r="E123" s="62" t="s">
        <v>42</v>
      </c>
      <c r="F123" s="62" t="s">
        <v>34</v>
      </c>
    </row>
    <row r="124" spans="2:6" x14ac:dyDescent="0.3">
      <c r="B124" s="43" t="s">
        <v>10</v>
      </c>
      <c r="C124" s="201" t="s">
        <v>99</v>
      </c>
      <c r="D124" s="201"/>
      <c r="E124" s="80">
        <f>$F$47</f>
        <v>5.31</v>
      </c>
      <c r="F124" s="67">
        <f>E124%*($F$60+$F$69+$F$80+$F$88+$F$100+$F$113+$F$120)</f>
        <v>279.81</v>
      </c>
    </row>
    <row r="125" spans="2:6" ht="15.75" customHeight="1" x14ac:dyDescent="0.3">
      <c r="B125" s="68" t="s">
        <v>13</v>
      </c>
      <c r="C125" s="193" t="s">
        <v>45</v>
      </c>
      <c r="D125" s="193"/>
      <c r="E125" s="81">
        <f>$F$48</f>
        <v>7.2</v>
      </c>
      <c r="F125" s="70">
        <f>E125%*($F$60+$F$69+$F$80+$F$88+$F$100+$F$113+$F$120+F124)</f>
        <v>399.55</v>
      </c>
    </row>
    <row r="126" spans="2:6" x14ac:dyDescent="0.3">
      <c r="B126" s="68" t="s">
        <v>15</v>
      </c>
      <c r="C126" s="201" t="s">
        <v>100</v>
      </c>
      <c r="D126" s="201"/>
      <c r="E126" s="80">
        <f>E127+E128+E129</f>
        <v>8.65</v>
      </c>
      <c r="F126" s="67">
        <f>SUM(F127:F129)</f>
        <v>514.57000000000005</v>
      </c>
    </row>
    <row r="127" spans="2:6" ht="15.75" customHeight="1" x14ac:dyDescent="0.3">
      <c r="B127" s="86" t="s">
        <v>101</v>
      </c>
      <c r="C127" s="223" t="s">
        <v>46</v>
      </c>
      <c r="D127" s="223"/>
      <c r="E127" s="96">
        <f>F49</f>
        <v>0.65</v>
      </c>
      <c r="F127" s="97">
        <f>E127%*($F$60+$F$69+$F$80+$F$88+$F$100+$F$113+$F$120+$F$124+$F$125)</f>
        <v>38.67</v>
      </c>
    </row>
    <row r="128" spans="2:6" x14ac:dyDescent="0.3">
      <c r="B128" s="86" t="s">
        <v>102</v>
      </c>
      <c r="C128" s="222" t="s">
        <v>47</v>
      </c>
      <c r="D128" s="222"/>
      <c r="E128" s="98">
        <f>F50</f>
        <v>3</v>
      </c>
      <c r="F128" s="99">
        <f>E128%*($F$60+$F$69+$F$80+$F$88+$F$100+$F$113+$F$120+$F$124+$F$125)</f>
        <v>178.46</v>
      </c>
    </row>
    <row r="129" spans="2:6" s="30" customFormat="1" x14ac:dyDescent="0.3">
      <c r="B129" s="86" t="s">
        <v>103</v>
      </c>
      <c r="C129" s="223" t="s">
        <v>104</v>
      </c>
      <c r="D129" s="223"/>
      <c r="E129" s="96">
        <f>F51</f>
        <v>5</v>
      </c>
      <c r="F129" s="97">
        <f>E129%*($F$60+$F$69+$F$80+$F$88+$F$100+$F$113+$F$120+$F$124+$F$125)</f>
        <v>297.44</v>
      </c>
    </row>
    <row r="130" spans="2:6" s="30" customFormat="1" x14ac:dyDescent="0.3">
      <c r="B130" s="190" t="s">
        <v>60</v>
      </c>
      <c r="C130" s="190"/>
      <c r="D130" s="190"/>
      <c r="E130" s="71">
        <f>E124+E126+E125</f>
        <v>21.16</v>
      </c>
      <c r="F130" s="82">
        <f>F124+F125+F126</f>
        <v>1193.93</v>
      </c>
    </row>
    <row r="131" spans="2:6" s="30" customFormat="1" ht="32.25" customHeight="1" x14ac:dyDescent="0.3">
      <c r="B131" s="68" t="s">
        <v>17</v>
      </c>
      <c r="C131" s="224" t="s">
        <v>105</v>
      </c>
      <c r="D131" s="224"/>
      <c r="E131" s="83">
        <f>E80*E130%</f>
        <v>7.79</v>
      </c>
      <c r="F131" s="67">
        <f>E80%*$F$130</f>
        <v>439.37</v>
      </c>
    </row>
    <row r="132" spans="2:6" s="30" customFormat="1" x14ac:dyDescent="0.3">
      <c r="B132" s="190" t="s">
        <v>53</v>
      </c>
      <c r="C132" s="190"/>
      <c r="D132" s="190"/>
      <c r="E132" s="84">
        <f>SUM(E130:E131)</f>
        <v>28.95</v>
      </c>
      <c r="F132" s="82">
        <f>SUM(F130:F131)</f>
        <v>1633.3</v>
      </c>
    </row>
    <row r="133" spans="2:6" s="30" customFormat="1" x14ac:dyDescent="0.3">
      <c r="B133" s="26"/>
      <c r="C133" s="20"/>
      <c r="D133" s="20"/>
      <c r="E133" s="1"/>
      <c r="F133" s="1"/>
    </row>
    <row r="134" spans="2:6" s="30" customFormat="1" x14ac:dyDescent="0.3">
      <c r="B134" s="26"/>
      <c r="C134" s="20"/>
      <c r="D134" s="20"/>
      <c r="E134" s="1"/>
      <c r="F134" s="1"/>
    </row>
    <row r="135" spans="2:6" s="30" customFormat="1" ht="20.25" x14ac:dyDescent="0.3">
      <c r="B135" s="40" t="s">
        <v>106</v>
      </c>
      <c r="C135" s="20"/>
      <c r="D135" s="20"/>
      <c r="E135" s="20"/>
      <c r="F135" s="29"/>
    </row>
    <row r="136" spans="2:6" s="32" customFormat="1" x14ac:dyDescent="0.2">
      <c r="B136" s="31"/>
      <c r="C136" s="20"/>
      <c r="D136" s="20"/>
      <c r="E136" s="20"/>
      <c r="F136" s="29"/>
    </row>
    <row r="137" spans="2:6" s="33" customFormat="1" x14ac:dyDescent="0.3">
      <c r="B137" s="206" t="s">
        <v>107</v>
      </c>
      <c r="C137" s="206"/>
      <c r="D137" s="206"/>
      <c r="E137" s="206"/>
      <c r="F137" s="62" t="s">
        <v>34</v>
      </c>
    </row>
    <row r="138" spans="2:6" s="30" customFormat="1" x14ac:dyDescent="0.3">
      <c r="B138" s="43" t="s">
        <v>10</v>
      </c>
      <c r="C138" s="201" t="s">
        <v>108</v>
      </c>
      <c r="D138" s="201"/>
      <c r="E138" s="201"/>
      <c r="F138" s="67">
        <f>F60</f>
        <v>2397.73</v>
      </c>
    </row>
    <row r="139" spans="2:6" s="34" customFormat="1" x14ac:dyDescent="0.3">
      <c r="B139" s="68" t="s">
        <v>13</v>
      </c>
      <c r="C139" s="193" t="s">
        <v>109</v>
      </c>
      <c r="D139" s="193"/>
      <c r="E139" s="193"/>
      <c r="F139" s="70">
        <f>F69+F80+F88</f>
        <v>2247.6799999999998</v>
      </c>
    </row>
    <row r="140" spans="2:6" s="34" customFormat="1" x14ac:dyDescent="0.3">
      <c r="B140" s="68" t="s">
        <v>15</v>
      </c>
      <c r="C140" s="201" t="s">
        <v>110</v>
      </c>
      <c r="D140" s="201"/>
      <c r="E140" s="201"/>
      <c r="F140" s="67">
        <f>F100</f>
        <v>79.61</v>
      </c>
    </row>
    <row r="141" spans="2:6" s="34" customFormat="1" x14ac:dyDescent="0.3">
      <c r="B141" s="68" t="s">
        <v>17</v>
      </c>
      <c r="C141" s="193" t="s">
        <v>111</v>
      </c>
      <c r="D141" s="193"/>
      <c r="E141" s="193"/>
      <c r="F141" s="70">
        <f>F113</f>
        <v>351.51</v>
      </c>
    </row>
    <row r="142" spans="2:6" s="34" customFormat="1" x14ac:dyDescent="0.3">
      <c r="B142" s="68" t="s">
        <v>19</v>
      </c>
      <c r="C142" s="201" t="s">
        <v>112</v>
      </c>
      <c r="D142" s="201"/>
      <c r="E142" s="201"/>
      <c r="F142" s="67">
        <f>F120</f>
        <v>192.94</v>
      </c>
    </row>
    <row r="143" spans="2:6" s="34" customFormat="1" x14ac:dyDescent="0.3">
      <c r="B143" s="68" t="s">
        <v>113</v>
      </c>
      <c r="C143" s="193" t="s">
        <v>114</v>
      </c>
      <c r="D143" s="193"/>
      <c r="E143" s="193"/>
      <c r="F143" s="70">
        <f>F124+F125</f>
        <v>679.36</v>
      </c>
    </row>
    <row r="144" spans="2:6" s="30" customFormat="1" x14ac:dyDescent="0.3">
      <c r="B144" s="206" t="s">
        <v>60</v>
      </c>
      <c r="C144" s="206"/>
      <c r="D144" s="206"/>
      <c r="E144" s="206"/>
      <c r="F144" s="82">
        <f>SUM(F138:F143)</f>
        <v>5948.83</v>
      </c>
    </row>
    <row r="145" spans="2:6" x14ac:dyDescent="0.3">
      <c r="B145" s="68" t="s">
        <v>115</v>
      </c>
      <c r="C145" s="201" t="s">
        <v>116</v>
      </c>
      <c r="D145" s="201"/>
      <c r="E145" s="201"/>
      <c r="F145" s="67">
        <f>F126</f>
        <v>514.57000000000005</v>
      </c>
    </row>
    <row r="146" spans="2:6" ht="31.5" customHeight="1" x14ac:dyDescent="0.3">
      <c r="B146" s="68" t="s">
        <v>117</v>
      </c>
      <c r="C146" s="207" t="s">
        <v>118</v>
      </c>
      <c r="D146" s="207"/>
      <c r="E146" s="207"/>
      <c r="F146" s="70">
        <f>F131</f>
        <v>439.37</v>
      </c>
    </row>
    <row r="147" spans="2:6" x14ac:dyDescent="0.3">
      <c r="B147" s="206" t="s">
        <v>119</v>
      </c>
      <c r="C147" s="206"/>
      <c r="D147" s="206"/>
      <c r="E147" s="206"/>
      <c r="F147" s="82">
        <f>F144+F145+F146</f>
        <v>6902.77</v>
      </c>
    </row>
    <row r="148" spans="2:6" ht="15.75" customHeight="1" x14ac:dyDescent="0.3">
      <c r="B148" s="26"/>
      <c r="C148" s="20"/>
      <c r="D148" s="20"/>
      <c r="E148" s="20"/>
      <c r="F148" s="29"/>
    </row>
    <row r="149" spans="2:6" ht="15.75" customHeight="1" x14ac:dyDescent="0.3">
      <c r="B149" s="26"/>
      <c r="C149" s="20"/>
      <c r="D149" s="20"/>
      <c r="E149" s="20"/>
      <c r="F149" s="29"/>
    </row>
    <row r="150" spans="2:6" ht="20.25" x14ac:dyDescent="0.3">
      <c r="B150" s="40" t="s">
        <v>120</v>
      </c>
      <c r="C150" s="20"/>
      <c r="D150" s="20"/>
      <c r="E150" s="20"/>
      <c r="F150" s="29"/>
    </row>
    <row r="151" spans="2:6" x14ac:dyDescent="0.3">
      <c r="B151" s="31"/>
      <c r="C151" s="20"/>
      <c r="D151" s="20"/>
      <c r="E151" s="20"/>
      <c r="F151" s="29"/>
    </row>
    <row r="152" spans="2:6" x14ac:dyDescent="0.3">
      <c r="B152" s="206" t="s">
        <v>121</v>
      </c>
      <c r="C152" s="206"/>
      <c r="D152" s="206"/>
      <c r="E152" s="206"/>
      <c r="F152" s="62" t="s">
        <v>42</v>
      </c>
    </row>
    <row r="153" spans="2:6" x14ac:dyDescent="0.3">
      <c r="B153" s="68" t="s">
        <v>56</v>
      </c>
      <c r="C153" s="201" t="s">
        <v>57</v>
      </c>
      <c r="D153" s="201"/>
      <c r="E153" s="201"/>
      <c r="F153" s="67">
        <f>E69</f>
        <v>15.2</v>
      </c>
    </row>
    <row r="154" spans="2:6" x14ac:dyDescent="0.3">
      <c r="B154" s="43" t="s">
        <v>63</v>
      </c>
      <c r="C154" s="193" t="s">
        <v>122</v>
      </c>
      <c r="D154" s="193"/>
      <c r="E154" s="193"/>
      <c r="F154" s="70">
        <f>E80</f>
        <v>36.799999999999997</v>
      </c>
    </row>
    <row r="155" spans="2:6" x14ac:dyDescent="0.3">
      <c r="B155" s="68">
        <v>3</v>
      </c>
      <c r="C155" s="201" t="s">
        <v>80</v>
      </c>
      <c r="D155" s="201"/>
      <c r="E155" s="201"/>
      <c r="F155" s="67">
        <f>E100</f>
        <v>3.32</v>
      </c>
    </row>
    <row r="156" spans="2:6" x14ac:dyDescent="0.3">
      <c r="B156" s="68" t="s">
        <v>90</v>
      </c>
      <c r="C156" s="193" t="s">
        <v>123</v>
      </c>
      <c r="D156" s="193"/>
      <c r="E156" s="193"/>
      <c r="F156" s="70">
        <f>E113</f>
        <v>14.66</v>
      </c>
    </row>
    <row r="157" spans="2:6" x14ac:dyDescent="0.3">
      <c r="B157" s="206" t="s">
        <v>53</v>
      </c>
      <c r="C157" s="206"/>
      <c r="D157" s="206"/>
      <c r="E157" s="206"/>
      <c r="F157" s="82">
        <f>SUM(F153:F156)</f>
        <v>69.98</v>
      </c>
    </row>
    <row r="158" spans="2:6" ht="40.5" customHeight="1" x14ac:dyDescent="0.3">
      <c r="B158" s="26"/>
      <c r="C158" s="20"/>
      <c r="D158" s="20"/>
      <c r="E158" s="20"/>
      <c r="F158" s="29"/>
    </row>
    <row r="159" spans="2:6" x14ac:dyDescent="0.3">
      <c r="B159" s="85" t="s">
        <v>124</v>
      </c>
      <c r="C159" s="218" t="s">
        <v>125</v>
      </c>
      <c r="D159" s="218"/>
      <c r="E159" s="218"/>
      <c r="F159" s="218"/>
    </row>
    <row r="160" spans="2:6" x14ac:dyDescent="0.3">
      <c r="B160" s="68" t="s">
        <v>126</v>
      </c>
      <c r="C160" s="217" t="s">
        <v>127</v>
      </c>
      <c r="D160" s="217"/>
      <c r="E160" s="217"/>
      <c r="F160" s="217"/>
    </row>
    <row r="161" spans="2:6" ht="33" customHeight="1" x14ac:dyDescent="0.3">
      <c r="B161" s="68" t="s">
        <v>128</v>
      </c>
      <c r="C161" s="216" t="s">
        <v>129</v>
      </c>
      <c r="D161" s="216"/>
      <c r="E161" s="216"/>
      <c r="F161" s="216"/>
    </row>
    <row r="162" spans="2:6" x14ac:dyDescent="0.3">
      <c r="B162" s="68" t="s">
        <v>130</v>
      </c>
      <c r="C162" s="217" t="s">
        <v>131</v>
      </c>
      <c r="D162" s="217"/>
      <c r="E162" s="217"/>
      <c r="F162" s="217"/>
    </row>
    <row r="163" spans="2:6" x14ac:dyDescent="0.3">
      <c r="B163" s="68" t="s">
        <v>132</v>
      </c>
      <c r="C163" s="215" t="s">
        <v>133</v>
      </c>
      <c r="D163" s="215"/>
      <c r="E163" s="215"/>
      <c r="F163" s="215"/>
    </row>
    <row r="164" spans="2:6" x14ac:dyDescent="0.3">
      <c r="B164" s="68" t="s">
        <v>134</v>
      </c>
      <c r="C164" s="217" t="s">
        <v>135</v>
      </c>
      <c r="D164" s="217"/>
      <c r="E164" s="217"/>
      <c r="F164" s="217"/>
    </row>
    <row r="165" spans="2:6" x14ac:dyDescent="0.3">
      <c r="B165" s="68" t="s">
        <v>136</v>
      </c>
      <c r="C165" s="215" t="s">
        <v>137</v>
      </c>
      <c r="D165" s="215"/>
      <c r="E165" s="215"/>
      <c r="F165" s="215"/>
    </row>
    <row r="166" spans="2:6" ht="32.25" customHeight="1" x14ac:dyDescent="0.3">
      <c r="B166" s="68" t="s">
        <v>138</v>
      </c>
      <c r="C166" s="217" t="s">
        <v>139</v>
      </c>
      <c r="D166" s="217"/>
      <c r="E166" s="217"/>
      <c r="F166" s="217"/>
    </row>
    <row r="167" spans="2:6" ht="30.75" customHeight="1" x14ac:dyDescent="0.3">
      <c r="B167" s="68" t="s">
        <v>140</v>
      </c>
      <c r="C167" s="215" t="s">
        <v>141</v>
      </c>
      <c r="D167" s="215"/>
      <c r="E167" s="215"/>
      <c r="F167" s="215"/>
    </row>
    <row r="168" spans="2:6" ht="58.5" customHeight="1" x14ac:dyDescent="0.3">
      <c r="B168" s="68" t="s">
        <v>142</v>
      </c>
      <c r="C168" s="217" t="s">
        <v>143</v>
      </c>
      <c r="D168" s="217"/>
      <c r="E168" s="217"/>
      <c r="F168" s="217"/>
    </row>
    <row r="169" spans="2:6" ht="65.25" customHeight="1" x14ac:dyDescent="0.3">
      <c r="B169" s="68" t="s">
        <v>144</v>
      </c>
      <c r="C169" s="215" t="s">
        <v>145</v>
      </c>
      <c r="D169" s="215"/>
      <c r="E169" s="215"/>
      <c r="F169" s="215"/>
    </row>
    <row r="170" spans="2:6" ht="85.5" customHeight="1" x14ac:dyDescent="0.3">
      <c r="B170" s="68" t="s">
        <v>146</v>
      </c>
      <c r="C170" s="217" t="s">
        <v>147</v>
      </c>
      <c r="D170" s="217"/>
      <c r="E170" s="217"/>
      <c r="F170" s="217"/>
    </row>
    <row r="171" spans="2:6" ht="70.5" customHeight="1" x14ac:dyDescent="0.3">
      <c r="B171" s="68" t="s">
        <v>148</v>
      </c>
      <c r="C171" s="215" t="s">
        <v>149</v>
      </c>
      <c r="D171" s="215"/>
      <c r="E171" s="215"/>
      <c r="F171" s="215"/>
    </row>
  </sheetData>
  <dataConsolidate/>
  <mergeCells count="140">
    <mergeCell ref="B1:F1"/>
    <mergeCell ref="B4:F4"/>
    <mergeCell ref="B7:C7"/>
    <mergeCell ref="D7:F7"/>
    <mergeCell ref="C48:E48"/>
    <mergeCell ref="B6:F6"/>
    <mergeCell ref="C47:E47"/>
    <mergeCell ref="B43:E43"/>
    <mergeCell ref="C44:E44"/>
    <mergeCell ref="C11:E11"/>
    <mergeCell ref="C19:D19"/>
    <mergeCell ref="C14:E14"/>
    <mergeCell ref="B38:E38"/>
    <mergeCell ref="C39:E39"/>
    <mergeCell ref="C41:E41"/>
    <mergeCell ref="B8:C8"/>
    <mergeCell ref="D8:E8"/>
    <mergeCell ref="B10:F10"/>
    <mergeCell ref="D22:F22"/>
    <mergeCell ref="C40:E40"/>
    <mergeCell ref="C23:E23"/>
    <mergeCell ref="C26:E26"/>
    <mergeCell ref="D12:F12"/>
    <mergeCell ref="C13:E13"/>
    <mergeCell ref="C15:E15"/>
    <mergeCell ref="E19:F19"/>
    <mergeCell ref="D20:F20"/>
    <mergeCell ref="D21:F21"/>
    <mergeCell ref="C32:D32"/>
    <mergeCell ref="C33:D33"/>
    <mergeCell ref="B2:D2"/>
    <mergeCell ref="E2:F2"/>
    <mergeCell ref="C170:F170"/>
    <mergeCell ref="C166:F166"/>
    <mergeCell ref="C125:D125"/>
    <mergeCell ref="C126:D126"/>
    <mergeCell ref="C141:E141"/>
    <mergeCell ref="C128:D128"/>
    <mergeCell ref="C129:D129"/>
    <mergeCell ref="B130:D130"/>
    <mergeCell ref="C131:D131"/>
    <mergeCell ref="B147:E147"/>
    <mergeCell ref="B152:E152"/>
    <mergeCell ref="B144:E144"/>
    <mergeCell ref="C145:E145"/>
    <mergeCell ref="C127:D127"/>
    <mergeCell ref="C142:E142"/>
    <mergeCell ref="C143:E143"/>
    <mergeCell ref="C171:F171"/>
    <mergeCell ref="C28:E28"/>
    <mergeCell ref="C161:F161"/>
    <mergeCell ref="C146:E146"/>
    <mergeCell ref="C164:F164"/>
    <mergeCell ref="C165:F165"/>
    <mergeCell ref="C51:E51"/>
    <mergeCell ref="C169:F169"/>
    <mergeCell ref="C156:E156"/>
    <mergeCell ref="B157:E157"/>
    <mergeCell ref="C159:F159"/>
    <mergeCell ref="C160:F160"/>
    <mergeCell ref="C162:F162"/>
    <mergeCell ref="C163:F163"/>
    <mergeCell ref="C167:F167"/>
    <mergeCell ref="C168:F168"/>
    <mergeCell ref="C153:E153"/>
    <mergeCell ref="C154:E154"/>
    <mergeCell ref="C155:E155"/>
    <mergeCell ref="B132:D132"/>
    <mergeCell ref="B137:E137"/>
    <mergeCell ref="C138:E138"/>
    <mergeCell ref="C139:E139"/>
    <mergeCell ref="C140:E140"/>
    <mergeCell ref="B113:D113"/>
    <mergeCell ref="C123:D123"/>
    <mergeCell ref="B122:F122"/>
    <mergeCell ref="C107:D107"/>
    <mergeCell ref="C118:E118"/>
    <mergeCell ref="C119:E119"/>
    <mergeCell ref="C106:D106"/>
    <mergeCell ref="C110:D110"/>
    <mergeCell ref="C124:D124"/>
    <mergeCell ref="C116:E116"/>
    <mergeCell ref="C117:E117"/>
    <mergeCell ref="B120:E120"/>
    <mergeCell ref="C112:D112"/>
    <mergeCell ref="B111:D111"/>
    <mergeCell ref="C108:D108"/>
    <mergeCell ref="C109:D109"/>
    <mergeCell ref="C83:E83"/>
    <mergeCell ref="C84:E84"/>
    <mergeCell ref="C73:D73"/>
    <mergeCell ref="C74:D74"/>
    <mergeCell ref="C75:D75"/>
    <mergeCell ref="C76:D76"/>
    <mergeCell ref="C77:D77"/>
    <mergeCell ref="C78:D78"/>
    <mergeCell ref="C79:D79"/>
    <mergeCell ref="B67:D67"/>
    <mergeCell ref="C68:D68"/>
    <mergeCell ref="C56:E56"/>
    <mergeCell ref="B60:E60"/>
    <mergeCell ref="C64:D64"/>
    <mergeCell ref="C71:D71"/>
    <mergeCell ref="C72:D72"/>
    <mergeCell ref="B80:D80"/>
    <mergeCell ref="C82:E82"/>
    <mergeCell ref="B69:D69"/>
    <mergeCell ref="B70:F70"/>
    <mergeCell ref="C65:D65"/>
    <mergeCell ref="C66:D66"/>
    <mergeCell ref="C97:D97"/>
    <mergeCell ref="C85:E85"/>
    <mergeCell ref="B88:E88"/>
    <mergeCell ref="B98:D98"/>
    <mergeCell ref="C99:D99"/>
    <mergeCell ref="B100:D100"/>
    <mergeCell ref="C104:D104"/>
    <mergeCell ref="C105:D105"/>
    <mergeCell ref="C96:D96"/>
    <mergeCell ref="C91:D91"/>
    <mergeCell ref="C92:D92"/>
    <mergeCell ref="C93:D93"/>
    <mergeCell ref="C94:D94"/>
    <mergeCell ref="C95:D95"/>
    <mergeCell ref="C87:E87"/>
    <mergeCell ref="C86:E86"/>
    <mergeCell ref="B53:F53"/>
    <mergeCell ref="B46:E46"/>
    <mergeCell ref="C34:D34"/>
    <mergeCell ref="C57:E57"/>
    <mergeCell ref="C58:E58"/>
    <mergeCell ref="C59:E59"/>
    <mergeCell ref="C29:E29"/>
    <mergeCell ref="B31:D31"/>
    <mergeCell ref="B25:F25"/>
    <mergeCell ref="C49:E49"/>
    <mergeCell ref="C50:E50"/>
    <mergeCell ref="C35:D35"/>
    <mergeCell ref="C36:D36"/>
    <mergeCell ref="C27:E27"/>
  </mergeCells>
  <dataValidations count="4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49">
      <formula1>0.65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1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48">
      <formula1>0</formula1>
      <formula2>7.2</formula2>
    </dataValidation>
  </dataValidations>
  <printOptions horizontalCentered="1"/>
  <pageMargins left="0.15748031496062992" right="0.15748031496062992" top="0.19685039370078741" bottom="0.11811023622047245" header="0.19685039370078741" footer="0.15748031496062992"/>
  <pageSetup paperSize="9" orientation="portrait" r:id="rId1"/>
  <ignoredErrors>
    <ignoredError sqref="F67 F98 F1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145" zoomScaleNormal="100" zoomScaleSheetLayoutView="100" workbookViewId="0">
      <selection activeCell="H38" sqref="H38"/>
    </sheetView>
  </sheetViews>
  <sheetFormatPr defaultColWidth="11.42578125" defaultRowHeight="16.5" x14ac:dyDescent="0.3"/>
  <cols>
    <col min="1" max="1" width="1.140625" style="2" customWidth="1"/>
    <col min="2" max="2" width="8" style="9" customWidth="1"/>
    <col min="3" max="3" width="52.5703125" style="35" customWidth="1"/>
    <col min="4" max="4" width="7.85546875" style="35" customWidth="1"/>
    <col min="5" max="5" width="13.5703125" style="35" customWidth="1"/>
    <col min="6" max="6" width="15.42578125" style="35" bestFit="1" customWidth="1"/>
    <col min="7" max="7" width="1.5703125" style="35" customWidth="1"/>
    <col min="8" max="8" width="18.85546875" style="9" bestFit="1" customWidth="1"/>
    <col min="9" max="9" width="14.85546875" style="9" customWidth="1"/>
    <col min="10" max="10" width="12.7109375" style="9" customWidth="1"/>
    <col min="11" max="11" width="14" style="9" customWidth="1"/>
    <col min="12" max="12" width="13.7109375" style="2" customWidth="1"/>
    <col min="13" max="13" width="9.42578125" style="2" customWidth="1"/>
    <col min="14" max="14" width="12.85546875" style="2" customWidth="1"/>
    <col min="15" max="16384" width="11.42578125" style="2"/>
  </cols>
  <sheetData>
    <row r="1" spans="2:14" ht="20.25" x14ac:dyDescent="0.35">
      <c r="B1" s="221" t="s">
        <v>0</v>
      </c>
      <c r="C1" s="221"/>
      <c r="D1" s="221"/>
      <c r="E1" s="221"/>
      <c r="F1" s="221"/>
    </row>
    <row r="2" spans="2:14" ht="20.25" x14ac:dyDescent="0.35">
      <c r="B2" s="221" t="s">
        <v>1</v>
      </c>
      <c r="C2" s="221"/>
      <c r="D2" s="221"/>
      <c r="E2" s="221" t="s">
        <v>2</v>
      </c>
      <c r="F2" s="221"/>
      <c r="H2" s="258" t="s">
        <v>150</v>
      </c>
      <c r="I2" s="258"/>
      <c r="J2" s="258"/>
      <c r="K2" s="258"/>
      <c r="L2" s="258"/>
      <c r="M2" s="258"/>
      <c r="N2" s="258"/>
    </row>
    <row r="3" spans="2:14" x14ac:dyDescent="0.3">
      <c r="B3" s="2"/>
      <c r="C3" s="2"/>
      <c r="D3" s="2"/>
      <c r="E3" s="2"/>
      <c r="F3" s="2"/>
      <c r="H3" s="258"/>
      <c r="I3" s="258"/>
      <c r="J3" s="258"/>
      <c r="K3" s="258"/>
      <c r="L3" s="258"/>
      <c r="M3" s="258"/>
      <c r="N3" s="258"/>
    </row>
    <row r="4" spans="2:14" ht="26.25" x14ac:dyDescent="0.45">
      <c r="B4" s="248" t="s">
        <v>151</v>
      </c>
      <c r="C4" s="248"/>
      <c r="D4" s="248"/>
      <c r="E4" s="248"/>
      <c r="F4" s="248"/>
      <c r="H4" s="258"/>
      <c r="I4" s="258"/>
      <c r="J4" s="258"/>
      <c r="K4" s="258"/>
      <c r="L4" s="258"/>
      <c r="M4" s="258"/>
      <c r="N4" s="258"/>
    </row>
    <row r="5" spans="2:14" ht="9" customHeight="1" x14ac:dyDescent="0.3">
      <c r="C5" s="9"/>
      <c r="D5" s="9"/>
      <c r="E5" s="9"/>
      <c r="F5" s="9"/>
      <c r="G5" s="2"/>
      <c r="H5" s="2"/>
      <c r="I5" s="2"/>
      <c r="J5" s="2"/>
      <c r="K5" s="2"/>
    </row>
    <row r="6" spans="2:14" x14ac:dyDescent="0.3">
      <c r="B6" s="228" t="s">
        <v>4</v>
      </c>
      <c r="C6" s="228"/>
      <c r="D6" s="228"/>
      <c r="E6" s="228"/>
      <c r="F6" s="228"/>
      <c r="G6" s="9"/>
      <c r="H6" s="234" t="s">
        <v>152</v>
      </c>
      <c r="I6" s="234"/>
      <c r="J6" s="234"/>
      <c r="K6" s="234"/>
      <c r="L6" s="234"/>
      <c r="M6" s="234"/>
      <c r="N6" s="234"/>
    </row>
    <row r="7" spans="2:14" ht="15.95" customHeight="1" x14ac:dyDescent="0.3">
      <c r="B7" s="226" t="s">
        <v>5</v>
      </c>
      <c r="C7" s="226"/>
      <c r="D7" s="227" t="s">
        <v>177</v>
      </c>
      <c r="E7" s="227"/>
      <c r="F7" s="227"/>
      <c r="G7" s="9"/>
      <c r="H7" s="252" t="s">
        <v>153</v>
      </c>
      <c r="I7" s="250" t="s">
        <v>154</v>
      </c>
      <c r="J7" s="250" t="s">
        <v>155</v>
      </c>
      <c r="K7" s="250" t="s">
        <v>156</v>
      </c>
      <c r="L7" s="250" t="s">
        <v>53</v>
      </c>
      <c r="M7" s="250" t="s">
        <v>157</v>
      </c>
      <c r="N7" s="250" t="s">
        <v>158</v>
      </c>
    </row>
    <row r="8" spans="2:14" ht="15.75" customHeight="1" x14ac:dyDescent="0.3">
      <c r="B8" s="230" t="s">
        <v>6</v>
      </c>
      <c r="C8" s="230"/>
      <c r="D8" s="231" t="s">
        <v>7</v>
      </c>
      <c r="E8" s="231"/>
      <c r="F8" s="54" t="s">
        <v>8</v>
      </c>
      <c r="G8" s="9"/>
      <c r="H8" s="253"/>
      <c r="I8" s="251"/>
      <c r="J8" s="251"/>
      <c r="K8" s="251"/>
      <c r="L8" s="251"/>
      <c r="M8" s="259"/>
      <c r="N8" s="259"/>
    </row>
    <row r="9" spans="2:14" ht="15.75" customHeight="1" x14ac:dyDescent="0.3">
      <c r="B9" s="2"/>
      <c r="C9" s="3"/>
      <c r="D9" s="4"/>
      <c r="E9" s="4"/>
      <c r="F9" s="5"/>
      <c r="G9" s="9"/>
      <c r="H9" s="254"/>
      <c r="I9" s="106" t="s">
        <v>159</v>
      </c>
      <c r="J9" s="106" t="s">
        <v>160</v>
      </c>
      <c r="K9" s="106" t="s">
        <v>161</v>
      </c>
      <c r="L9" s="106" t="s">
        <v>162</v>
      </c>
      <c r="M9" s="251"/>
      <c r="N9" s="251"/>
    </row>
    <row r="10" spans="2:14" ht="15.95" customHeight="1" x14ac:dyDescent="0.3">
      <c r="B10" s="232" t="s">
        <v>9</v>
      </c>
      <c r="C10" s="232"/>
      <c r="D10" s="232"/>
      <c r="E10" s="232"/>
      <c r="F10" s="232"/>
      <c r="G10" s="9"/>
      <c r="H10" s="107" t="s">
        <v>163</v>
      </c>
      <c r="I10" s="108">
        <v>7600.4</v>
      </c>
      <c r="J10" s="134"/>
      <c r="K10" s="134"/>
      <c r="L10" s="130">
        <f>SUM(I10:K10)</f>
        <v>7600.4</v>
      </c>
      <c r="M10" s="109"/>
      <c r="N10" s="133"/>
    </row>
    <row r="11" spans="2:14" ht="15.95" customHeight="1" x14ac:dyDescent="0.3">
      <c r="B11" s="49" t="s">
        <v>10</v>
      </c>
      <c r="C11" s="226" t="s">
        <v>11</v>
      </c>
      <c r="D11" s="226"/>
      <c r="E11" s="226"/>
      <c r="F11" s="52">
        <v>43368</v>
      </c>
      <c r="G11" s="9"/>
      <c r="H11" s="107" t="s">
        <v>164</v>
      </c>
      <c r="I11" s="108">
        <v>6958.18</v>
      </c>
      <c r="J11" s="134"/>
      <c r="K11" s="134"/>
      <c r="L11" s="130">
        <f>SUM(I11:K11)</f>
        <v>6958.18</v>
      </c>
      <c r="M11" s="109"/>
      <c r="N11" s="133"/>
    </row>
    <row r="12" spans="2:14" ht="18.75" customHeight="1" x14ac:dyDescent="0.3">
      <c r="B12" s="43" t="s">
        <v>13</v>
      </c>
      <c r="C12" s="53" t="s">
        <v>14</v>
      </c>
      <c r="D12" s="233" t="s">
        <v>179</v>
      </c>
      <c r="E12" s="233"/>
      <c r="F12" s="233"/>
      <c r="G12" s="89"/>
      <c r="H12" s="107" t="s">
        <v>165</v>
      </c>
      <c r="I12" s="108">
        <v>1551.38</v>
      </c>
      <c r="J12" s="134"/>
      <c r="K12" s="134"/>
      <c r="L12" s="130">
        <f>SUM(I12:K12)</f>
        <v>1551.38</v>
      </c>
      <c r="M12" s="109"/>
      <c r="N12" s="57"/>
    </row>
    <row r="13" spans="2:14" ht="15.95" customHeight="1" x14ac:dyDescent="0.3">
      <c r="B13" s="49" t="s">
        <v>15</v>
      </c>
      <c r="C13" s="226" t="s">
        <v>16</v>
      </c>
      <c r="D13" s="226"/>
      <c r="E13" s="226"/>
      <c r="F13" s="54" t="s">
        <v>178</v>
      </c>
      <c r="G13" s="9"/>
      <c r="H13" s="107" t="s">
        <v>166</v>
      </c>
      <c r="I13" s="108"/>
      <c r="J13" s="134"/>
      <c r="K13" s="134"/>
      <c r="L13" s="130">
        <f>SUM(I13:K13)</f>
        <v>0</v>
      </c>
      <c r="M13" s="109"/>
      <c r="N13" s="57"/>
    </row>
    <row r="14" spans="2:14" x14ac:dyDescent="0.3">
      <c r="B14" s="55" t="s">
        <v>17</v>
      </c>
      <c r="C14" s="229" t="s">
        <v>18</v>
      </c>
      <c r="D14" s="229"/>
      <c r="E14" s="229"/>
      <c r="F14" s="56">
        <v>12</v>
      </c>
      <c r="G14" s="9"/>
      <c r="H14" s="107" t="s">
        <v>167</v>
      </c>
      <c r="I14" s="108"/>
      <c r="J14" s="134"/>
      <c r="K14" s="134"/>
      <c r="L14" s="130">
        <f>SUM(I14:K14)</f>
        <v>0</v>
      </c>
      <c r="M14" s="109"/>
      <c r="N14" s="133"/>
    </row>
    <row r="15" spans="2:14" ht="18.75" customHeight="1" x14ac:dyDescent="0.3">
      <c r="B15" s="55" t="s">
        <v>19</v>
      </c>
      <c r="C15" s="219" t="s">
        <v>20</v>
      </c>
      <c r="D15" s="219"/>
      <c r="E15" s="219"/>
      <c r="F15" s="57">
        <v>18</v>
      </c>
      <c r="G15" s="9"/>
      <c r="H15" s="110" t="s">
        <v>53</v>
      </c>
      <c r="I15" s="111">
        <f>SUM(I10:I14)</f>
        <v>16109.96</v>
      </c>
      <c r="J15" s="111">
        <f>SUM(J10:J14)</f>
        <v>0</v>
      </c>
      <c r="K15" s="111">
        <f>SUM(K10:K14)</f>
        <v>0</v>
      </c>
      <c r="L15" s="111">
        <f>SUM(L10:L13)</f>
        <v>16109.96</v>
      </c>
      <c r="M15" s="260"/>
      <c r="N15" s="260"/>
    </row>
    <row r="16" spans="2:14" ht="16.5" customHeight="1" x14ac:dyDescent="0.3">
      <c r="B16" s="6"/>
      <c r="C16" s="7"/>
      <c r="D16" s="7"/>
      <c r="E16" s="7"/>
      <c r="F16" s="8"/>
      <c r="G16" s="9"/>
      <c r="H16" s="255" t="s">
        <v>168</v>
      </c>
      <c r="I16" s="256"/>
      <c r="J16" s="256"/>
      <c r="K16" s="256"/>
      <c r="L16" s="256"/>
      <c r="M16" s="257"/>
      <c r="N16" s="135"/>
    </row>
    <row r="17" spans="2:14" ht="25.5" x14ac:dyDescent="0.5">
      <c r="B17" s="37" t="s">
        <v>21</v>
      </c>
      <c r="C17" s="9"/>
      <c r="D17" s="9"/>
      <c r="E17" s="9"/>
      <c r="F17" s="9"/>
      <c r="H17" s="90"/>
      <c r="I17" s="90"/>
      <c r="J17" s="90"/>
      <c r="K17" s="90"/>
      <c r="L17" s="90"/>
      <c r="M17" s="91"/>
      <c r="N17" s="91"/>
    </row>
    <row r="18" spans="2:14" ht="9" customHeight="1" x14ac:dyDescent="0.3">
      <c r="C18" s="9"/>
      <c r="D18" s="9"/>
      <c r="E18" s="9"/>
      <c r="F18" s="9"/>
      <c r="G18" s="9"/>
      <c r="H18" s="90"/>
      <c r="I18" s="90"/>
      <c r="J18" s="90"/>
      <c r="K18" s="90"/>
      <c r="L18" s="90"/>
      <c r="M18" s="91"/>
      <c r="N18" s="91"/>
    </row>
    <row r="19" spans="2:14" x14ac:dyDescent="0.3">
      <c r="B19" s="49">
        <v>1</v>
      </c>
      <c r="C19" s="191" t="s">
        <v>22</v>
      </c>
      <c r="D19" s="191"/>
      <c r="E19" s="220"/>
      <c r="F19" s="220"/>
      <c r="G19" s="9"/>
      <c r="H19" s="261" t="s">
        <v>169</v>
      </c>
      <c r="I19" s="262"/>
      <c r="J19" s="262"/>
      <c r="K19" s="262"/>
      <c r="L19" s="262"/>
      <c r="M19" s="262"/>
      <c r="N19" s="263"/>
    </row>
    <row r="20" spans="2:14" ht="17.25" customHeight="1" x14ac:dyDescent="0.3">
      <c r="B20" s="49">
        <v>2</v>
      </c>
      <c r="C20" s="50" t="s">
        <v>23</v>
      </c>
      <c r="D20" s="220"/>
      <c r="E20" s="220"/>
      <c r="F20" s="220"/>
      <c r="G20" s="9"/>
      <c r="H20" s="241" t="s">
        <v>170</v>
      </c>
      <c r="I20" s="242"/>
      <c r="J20" s="242"/>
      <c r="K20" s="242"/>
      <c r="L20" s="242"/>
      <c r="M20" s="242"/>
      <c r="N20" s="243"/>
    </row>
    <row r="21" spans="2:14" ht="15.95" customHeight="1" x14ac:dyDescent="0.3">
      <c r="B21" s="49">
        <v>3</v>
      </c>
      <c r="C21" s="51" t="s">
        <v>24</v>
      </c>
      <c r="D21" s="249"/>
      <c r="E21" s="249"/>
      <c r="F21" s="249"/>
      <c r="G21" s="9"/>
      <c r="H21" s="244"/>
      <c r="I21" s="245"/>
      <c r="J21" s="245"/>
      <c r="K21" s="245"/>
      <c r="L21" s="245"/>
      <c r="M21" s="245"/>
      <c r="N21" s="246"/>
    </row>
    <row r="22" spans="2:14" x14ac:dyDescent="0.3">
      <c r="B22" s="49">
        <v>4</v>
      </c>
      <c r="C22" s="50" t="s">
        <v>25</v>
      </c>
      <c r="D22" s="220"/>
      <c r="E22" s="220"/>
      <c r="F22" s="220"/>
      <c r="G22" s="92"/>
      <c r="H22" s="235" t="s">
        <v>171</v>
      </c>
      <c r="I22" s="236"/>
      <c r="J22" s="236"/>
      <c r="K22" s="236"/>
      <c r="L22" s="236"/>
      <c r="M22" s="236"/>
      <c r="N22" s="237"/>
    </row>
    <row r="23" spans="2:14" ht="15" customHeight="1" x14ac:dyDescent="0.3">
      <c r="B23" s="49">
        <v>5</v>
      </c>
      <c r="C23" s="191" t="s">
        <v>26</v>
      </c>
      <c r="D23" s="191"/>
      <c r="E23" s="191"/>
      <c r="F23" s="52">
        <v>43101</v>
      </c>
      <c r="G23" s="9"/>
      <c r="H23" s="238"/>
      <c r="I23" s="239"/>
      <c r="J23" s="239"/>
      <c r="K23" s="239"/>
      <c r="L23" s="239"/>
      <c r="M23" s="239"/>
      <c r="N23" s="240"/>
    </row>
    <row r="24" spans="2:14" ht="13.5" customHeight="1" x14ac:dyDescent="0.3">
      <c r="B24" s="100"/>
      <c r="C24" s="104"/>
      <c r="D24" s="104"/>
      <c r="E24" s="104"/>
      <c r="F24" s="105"/>
      <c r="G24" s="9"/>
      <c r="H24" s="241" t="s">
        <v>172</v>
      </c>
      <c r="I24" s="242"/>
      <c r="J24" s="242"/>
      <c r="K24" s="242"/>
      <c r="L24" s="242"/>
      <c r="M24" s="242"/>
      <c r="N24" s="243"/>
    </row>
    <row r="25" spans="2:14" ht="18" customHeight="1" x14ac:dyDescent="0.3">
      <c r="B25" s="247" t="s">
        <v>27</v>
      </c>
      <c r="C25" s="247"/>
      <c r="D25" s="247"/>
      <c r="E25" s="247"/>
      <c r="F25" s="247"/>
      <c r="G25" s="9"/>
      <c r="H25" s="244"/>
      <c r="I25" s="245"/>
      <c r="J25" s="245"/>
      <c r="K25" s="245"/>
      <c r="L25" s="245"/>
      <c r="M25" s="245"/>
      <c r="N25" s="246"/>
    </row>
    <row r="26" spans="2:14" ht="15.95" customHeight="1" x14ac:dyDescent="0.3">
      <c r="B26" s="43" t="s">
        <v>10</v>
      </c>
      <c r="C26" s="192" t="s">
        <v>28</v>
      </c>
      <c r="D26" s="192"/>
      <c r="E26" s="192"/>
      <c r="F26" s="113">
        <v>1198.8699999999999</v>
      </c>
      <c r="G26" s="9"/>
      <c r="H26" s="235" t="s">
        <v>173</v>
      </c>
      <c r="I26" s="236"/>
      <c r="J26" s="236"/>
      <c r="K26" s="236"/>
      <c r="L26" s="236"/>
      <c r="M26" s="236"/>
      <c r="N26" s="237"/>
    </row>
    <row r="27" spans="2:14" ht="15.95" customHeight="1" x14ac:dyDescent="0.3">
      <c r="B27" s="43" t="s">
        <v>13</v>
      </c>
      <c r="C27" s="193" t="s">
        <v>29</v>
      </c>
      <c r="D27" s="193"/>
      <c r="E27" s="193"/>
      <c r="F27" s="114"/>
      <c r="G27" s="9"/>
      <c r="H27" s="238"/>
      <c r="I27" s="239"/>
      <c r="J27" s="239"/>
      <c r="K27" s="239"/>
      <c r="L27" s="239"/>
      <c r="M27" s="239"/>
      <c r="N27" s="240"/>
    </row>
    <row r="28" spans="2:14" ht="15.95" customHeight="1" x14ac:dyDescent="0.3">
      <c r="B28" s="43" t="s">
        <v>15</v>
      </c>
      <c r="C28" s="192" t="s">
        <v>30</v>
      </c>
      <c r="D28" s="192"/>
      <c r="E28" s="192"/>
      <c r="F28" s="113">
        <v>998</v>
      </c>
      <c r="G28" s="9"/>
      <c r="L28" s="9"/>
      <c r="M28" s="9"/>
    </row>
    <row r="29" spans="2:14" ht="15.95" customHeight="1" x14ac:dyDescent="0.3">
      <c r="B29" s="43" t="s">
        <v>17</v>
      </c>
      <c r="C29" s="193" t="s">
        <v>31</v>
      </c>
      <c r="D29" s="193"/>
      <c r="E29" s="193"/>
      <c r="F29" s="114"/>
      <c r="G29" s="9"/>
      <c r="L29" s="9"/>
      <c r="M29" s="9"/>
    </row>
    <row r="30" spans="2:14" s="93" customFormat="1" ht="12" customHeight="1" x14ac:dyDescent="0.3">
      <c r="B30" s="12"/>
      <c r="C30" s="12"/>
      <c r="D30" s="12"/>
      <c r="E30" s="13"/>
      <c r="F30" s="14"/>
      <c r="G30" s="9"/>
      <c r="H30" s="9"/>
      <c r="I30" s="9"/>
      <c r="J30" s="9"/>
      <c r="K30" s="9"/>
      <c r="L30" s="9"/>
      <c r="M30" s="9"/>
    </row>
    <row r="31" spans="2:14" s="16" customFormat="1" x14ac:dyDescent="0.3">
      <c r="B31" s="264" t="s">
        <v>32</v>
      </c>
      <c r="C31" s="265"/>
      <c r="D31" s="265"/>
      <c r="E31" s="137" t="s">
        <v>33</v>
      </c>
      <c r="F31" s="138" t="s">
        <v>34</v>
      </c>
      <c r="G31" s="9"/>
      <c r="H31" s="9"/>
      <c r="I31" s="9"/>
      <c r="J31" s="9"/>
      <c r="K31" s="9"/>
      <c r="L31" s="9"/>
      <c r="M31" s="9"/>
    </row>
    <row r="32" spans="2:14" s="16" customFormat="1" x14ac:dyDescent="0.3">
      <c r="B32" s="43" t="s">
        <v>10</v>
      </c>
      <c r="C32" s="192" t="s">
        <v>35</v>
      </c>
      <c r="D32" s="192"/>
      <c r="E32" s="192" t="s">
        <v>36</v>
      </c>
      <c r="F32" s="113">
        <v>11.7</v>
      </c>
      <c r="G32" s="9"/>
      <c r="H32" s="9"/>
      <c r="I32" s="9"/>
      <c r="J32" s="9"/>
      <c r="K32" s="9"/>
      <c r="L32" s="9"/>
      <c r="M32" s="9"/>
    </row>
    <row r="33" spans="2:13" s="16" customFormat="1" x14ac:dyDescent="0.3">
      <c r="B33" s="43" t="s">
        <v>13</v>
      </c>
      <c r="C33" s="193" t="s">
        <v>37</v>
      </c>
      <c r="D33" s="193"/>
      <c r="E33" s="193" t="s">
        <v>36</v>
      </c>
      <c r="F33" s="113">
        <v>33</v>
      </c>
      <c r="G33" s="9"/>
      <c r="H33" s="9"/>
      <c r="I33" s="9"/>
      <c r="J33" s="9"/>
      <c r="K33" s="9"/>
      <c r="L33" s="9"/>
      <c r="M33" s="9"/>
    </row>
    <row r="34" spans="2:13" ht="15.95" customHeight="1" x14ac:dyDescent="0.3">
      <c r="B34" s="43" t="s">
        <v>15</v>
      </c>
      <c r="C34" s="192" t="s">
        <v>182</v>
      </c>
      <c r="D34" s="192"/>
      <c r="E34" s="192" t="s">
        <v>183</v>
      </c>
      <c r="F34" s="113">
        <v>149</v>
      </c>
      <c r="G34" s="9"/>
      <c r="L34" s="9"/>
      <c r="M34" s="9"/>
    </row>
    <row r="35" spans="2:13" ht="15.95" customHeight="1" x14ac:dyDescent="0.3">
      <c r="B35" s="43" t="s">
        <v>17</v>
      </c>
      <c r="C35" s="193" t="str">
        <f>C88</f>
        <v>Assitência odontológica</v>
      </c>
      <c r="D35" s="193"/>
      <c r="E35" s="193" t="s">
        <v>183</v>
      </c>
      <c r="F35" s="113">
        <v>10.3</v>
      </c>
      <c r="G35" s="9"/>
      <c r="L35" s="9"/>
      <c r="M35" s="9"/>
    </row>
    <row r="36" spans="2:13" ht="15.95" customHeight="1" x14ac:dyDescent="0.3">
      <c r="B36" s="43" t="s">
        <v>19</v>
      </c>
      <c r="C36" s="192" t="str">
        <f>C89</f>
        <v>Auxílio funeral/seguro de vida</v>
      </c>
      <c r="D36" s="192"/>
      <c r="E36" s="192" t="s">
        <v>183</v>
      </c>
      <c r="F36" s="113">
        <v>2</v>
      </c>
      <c r="G36" s="9"/>
      <c r="L36" s="9"/>
      <c r="M36" s="9"/>
    </row>
    <row r="37" spans="2:13" ht="12" customHeight="1" x14ac:dyDescent="0.3">
      <c r="B37" s="11"/>
      <c r="C37" s="15"/>
      <c r="D37" s="15"/>
      <c r="E37" s="1"/>
      <c r="F37" s="9"/>
      <c r="G37" s="9"/>
      <c r="L37" s="9"/>
      <c r="M37" s="9"/>
    </row>
    <row r="38" spans="2:13" x14ac:dyDescent="0.3">
      <c r="B38" s="266" t="s">
        <v>38</v>
      </c>
      <c r="C38" s="266"/>
      <c r="D38" s="266"/>
      <c r="E38" s="266"/>
      <c r="F38" s="112" t="s">
        <v>34</v>
      </c>
      <c r="G38" s="9"/>
      <c r="L38" s="9"/>
      <c r="M38" s="9"/>
    </row>
    <row r="39" spans="2:13" ht="15.95" customHeight="1" x14ac:dyDescent="0.3">
      <c r="B39" s="43" t="s">
        <v>10</v>
      </c>
      <c r="C39" s="192" t="s">
        <v>180</v>
      </c>
      <c r="D39" s="192"/>
      <c r="E39" s="192"/>
      <c r="F39" s="113">
        <v>87.92</v>
      </c>
      <c r="G39" s="9"/>
      <c r="L39" s="9"/>
      <c r="M39" s="9"/>
    </row>
    <row r="40" spans="2:13" ht="15.95" customHeight="1" x14ac:dyDescent="0.3">
      <c r="B40" s="43" t="s">
        <v>13</v>
      </c>
      <c r="C40" s="193" t="s">
        <v>181</v>
      </c>
      <c r="D40" s="193"/>
      <c r="E40" s="193"/>
      <c r="F40" s="113">
        <v>14.67</v>
      </c>
      <c r="G40" s="9"/>
      <c r="L40" s="9"/>
      <c r="M40" s="9"/>
    </row>
    <row r="41" spans="2:13" ht="15.95" customHeight="1" x14ac:dyDescent="0.3">
      <c r="B41" s="43" t="s">
        <v>15</v>
      </c>
      <c r="C41" s="192" t="s">
        <v>40</v>
      </c>
      <c r="D41" s="192"/>
      <c r="E41" s="192"/>
      <c r="F41" s="113">
        <v>192.17</v>
      </c>
      <c r="G41" s="9"/>
      <c r="L41" s="9"/>
      <c r="M41" s="9"/>
    </row>
    <row r="42" spans="2:13" x14ac:dyDescent="0.3">
      <c r="B42" s="43" t="s">
        <v>17</v>
      </c>
      <c r="C42" s="193" t="s">
        <v>187</v>
      </c>
      <c r="D42" s="193"/>
      <c r="E42" s="193"/>
      <c r="F42" s="113">
        <v>11.62</v>
      </c>
      <c r="G42" s="9"/>
      <c r="L42" s="9"/>
      <c r="M42" s="9"/>
    </row>
    <row r="43" spans="2:13" ht="12" customHeight="1" x14ac:dyDescent="0.3">
      <c r="B43" s="100"/>
      <c r="C43" s="20"/>
      <c r="D43" s="20"/>
      <c r="E43" s="20"/>
      <c r="F43" s="101"/>
      <c r="G43" s="2"/>
      <c r="L43" s="9"/>
      <c r="M43" s="9"/>
    </row>
    <row r="44" spans="2:13" ht="15.95" customHeight="1" x14ac:dyDescent="0.3">
      <c r="B44" s="190" t="s">
        <v>41</v>
      </c>
      <c r="C44" s="190"/>
      <c r="D44" s="190"/>
      <c r="E44" s="190"/>
      <c r="F44" s="58" t="s">
        <v>42</v>
      </c>
      <c r="G44" s="2"/>
      <c r="L44" s="9"/>
      <c r="M44" s="9"/>
    </row>
    <row r="45" spans="2:13" x14ac:dyDescent="0.3">
      <c r="B45" s="49" t="s">
        <v>10</v>
      </c>
      <c r="C45" s="196" t="s">
        <v>31</v>
      </c>
      <c r="D45" s="197"/>
      <c r="E45" s="198"/>
      <c r="F45" s="102"/>
      <c r="G45" s="2"/>
      <c r="H45" s="2"/>
      <c r="I45" s="2"/>
      <c r="J45" s="2"/>
      <c r="K45" s="2"/>
    </row>
    <row r="46" spans="2:13" ht="12" customHeight="1" x14ac:dyDescent="0.3">
      <c r="B46" s="17"/>
      <c r="C46" s="17"/>
      <c r="D46" s="17"/>
      <c r="E46" s="17"/>
      <c r="F46" s="18"/>
      <c r="G46" s="9"/>
      <c r="H46" s="2"/>
      <c r="I46" s="2"/>
      <c r="J46" s="2"/>
      <c r="K46" s="2"/>
    </row>
    <row r="47" spans="2:13" ht="15.95" customHeight="1" x14ac:dyDescent="0.15">
      <c r="B47" s="190" t="s">
        <v>43</v>
      </c>
      <c r="C47" s="190"/>
      <c r="D47" s="190"/>
      <c r="E47" s="190"/>
      <c r="F47" s="58" t="s">
        <v>42</v>
      </c>
      <c r="G47" s="2"/>
      <c r="H47" s="2"/>
      <c r="I47" s="2"/>
      <c r="J47" s="2"/>
      <c r="K47" s="2"/>
    </row>
    <row r="48" spans="2:13" x14ac:dyDescent="0.3">
      <c r="B48" s="49" t="s">
        <v>10</v>
      </c>
      <c r="C48" s="201" t="s">
        <v>44</v>
      </c>
      <c r="D48" s="201"/>
      <c r="E48" s="201"/>
      <c r="F48" s="102">
        <v>5.31</v>
      </c>
      <c r="G48" s="2"/>
      <c r="H48" s="2"/>
      <c r="I48" s="2"/>
      <c r="J48" s="2"/>
      <c r="K48" s="2"/>
    </row>
    <row r="49" spans="2:13" x14ac:dyDescent="0.3">
      <c r="B49" s="49" t="s">
        <v>13</v>
      </c>
      <c r="C49" s="201" t="s">
        <v>45</v>
      </c>
      <c r="D49" s="201"/>
      <c r="E49" s="201"/>
      <c r="F49" s="102">
        <v>7.2</v>
      </c>
      <c r="G49" s="2"/>
      <c r="H49" s="2"/>
      <c r="I49" s="2"/>
      <c r="J49" s="2"/>
      <c r="K49" s="2"/>
    </row>
    <row r="50" spans="2:13" s="115" customFormat="1" x14ac:dyDescent="0.3">
      <c r="B50" s="49" t="s">
        <v>15</v>
      </c>
      <c r="C50" s="201" t="s">
        <v>46</v>
      </c>
      <c r="D50" s="201"/>
      <c r="E50" s="201"/>
      <c r="F50" s="102">
        <v>0.65</v>
      </c>
    </row>
    <row r="51" spans="2:13" s="115" customFormat="1" x14ac:dyDescent="0.3">
      <c r="B51" s="49" t="s">
        <v>17</v>
      </c>
      <c r="C51" s="201" t="s">
        <v>47</v>
      </c>
      <c r="D51" s="201"/>
      <c r="E51" s="201"/>
      <c r="F51" s="102">
        <v>3</v>
      </c>
    </row>
    <row r="52" spans="2:13" s="115" customFormat="1" x14ac:dyDescent="0.3">
      <c r="B52" s="49" t="s">
        <v>19</v>
      </c>
      <c r="C52" s="201" t="s">
        <v>48</v>
      </c>
      <c r="D52" s="201"/>
      <c r="E52" s="201"/>
      <c r="F52" s="102">
        <v>5</v>
      </c>
    </row>
    <row r="53" spans="2:13" ht="26.25" customHeight="1" x14ac:dyDescent="0.3">
      <c r="B53" s="19"/>
      <c r="C53" s="20"/>
      <c r="D53" s="20"/>
      <c r="E53" s="20"/>
      <c r="F53" s="21"/>
      <c r="G53" s="2"/>
      <c r="H53" s="2"/>
      <c r="I53" s="2"/>
      <c r="J53" s="2"/>
      <c r="K53" s="2"/>
    </row>
    <row r="54" spans="2:13" s="115" customFormat="1" ht="38.25" customHeight="1" x14ac:dyDescent="0.3">
      <c r="B54" s="189" t="s">
        <v>49</v>
      </c>
      <c r="C54" s="189"/>
      <c r="D54" s="189"/>
      <c r="E54" s="189"/>
      <c r="F54" s="189"/>
    </row>
    <row r="55" spans="2:13" s="94" customFormat="1" x14ac:dyDescent="0.3">
      <c r="B55" s="39" t="s">
        <v>50</v>
      </c>
      <c r="C55" s="23"/>
      <c r="D55" s="23"/>
      <c r="E55" s="17"/>
      <c r="F55" s="17"/>
      <c r="G55" s="9"/>
      <c r="H55" s="9"/>
      <c r="I55" s="9"/>
      <c r="J55" s="9"/>
      <c r="K55" s="9"/>
      <c r="L55" s="9"/>
      <c r="M55" s="9"/>
    </row>
    <row r="56" spans="2:13" s="94" customFormat="1" x14ac:dyDescent="0.3">
      <c r="B56" s="43">
        <v>1</v>
      </c>
      <c r="C56" s="208" t="s">
        <v>27</v>
      </c>
      <c r="D56" s="208"/>
      <c r="E56" s="208"/>
      <c r="F56" s="62" t="s">
        <v>34</v>
      </c>
      <c r="G56" s="9"/>
      <c r="H56" s="9"/>
      <c r="I56" s="9"/>
      <c r="J56" s="9"/>
      <c r="K56" s="9"/>
      <c r="L56" s="9"/>
      <c r="M56" s="9"/>
    </row>
    <row r="57" spans="2:13" s="94" customFormat="1" ht="15.75" customHeight="1" x14ac:dyDescent="0.3">
      <c r="B57" s="43" t="s">
        <v>10</v>
      </c>
      <c r="C57" s="272" t="s">
        <v>51</v>
      </c>
      <c r="D57" s="272"/>
      <c r="E57" s="272"/>
      <c r="F57" s="122">
        <f>F26</f>
        <v>1198.8699999999999</v>
      </c>
      <c r="G57" s="9"/>
      <c r="H57" s="9"/>
      <c r="I57" s="9"/>
      <c r="J57" s="9"/>
      <c r="K57" s="9"/>
      <c r="L57" s="9"/>
      <c r="M57" s="9"/>
    </row>
    <row r="58" spans="2:13" x14ac:dyDescent="0.3">
      <c r="B58" s="43" t="s">
        <v>13</v>
      </c>
      <c r="C58" s="193" t="s">
        <v>52</v>
      </c>
      <c r="D58" s="193"/>
      <c r="E58" s="193"/>
      <c r="F58" s="64">
        <f>F27%*$F$28</f>
        <v>0</v>
      </c>
      <c r="G58" s="9"/>
      <c r="L58" s="9"/>
      <c r="M58" s="9"/>
    </row>
    <row r="59" spans="2:13" x14ac:dyDescent="0.3">
      <c r="B59" s="43" t="s">
        <v>15</v>
      </c>
      <c r="C59" s="267" t="str">
        <f>C29</f>
        <v>Outros (Especificar)</v>
      </c>
      <c r="D59" s="268"/>
      <c r="E59" s="268"/>
      <c r="F59" s="122">
        <f>F29</f>
        <v>0</v>
      </c>
      <c r="G59" s="9"/>
      <c r="L59" s="9"/>
      <c r="M59" s="9"/>
    </row>
    <row r="60" spans="2:13" ht="15.95" customHeight="1" x14ac:dyDescent="0.3">
      <c r="B60" s="209" t="s">
        <v>53</v>
      </c>
      <c r="C60" s="209"/>
      <c r="D60" s="209"/>
      <c r="E60" s="209"/>
      <c r="F60" s="65">
        <f>SUM(F57:F59)</f>
        <v>1198.8699999999999</v>
      </c>
      <c r="G60" s="9"/>
      <c r="L60" s="9"/>
      <c r="M60" s="9"/>
    </row>
    <row r="61" spans="2:13" s="94" customFormat="1" ht="9.75" customHeight="1" x14ac:dyDescent="0.3">
      <c r="B61" s="15"/>
      <c r="C61" s="15"/>
      <c r="D61" s="15"/>
      <c r="E61" s="24"/>
      <c r="F61" s="24"/>
      <c r="G61" s="9"/>
      <c r="H61" s="9"/>
      <c r="I61" s="9"/>
      <c r="J61" s="9"/>
      <c r="K61" s="9"/>
      <c r="L61" s="9"/>
      <c r="M61" s="9"/>
    </row>
    <row r="62" spans="2:13" ht="15.95" customHeight="1" x14ac:dyDescent="0.3">
      <c r="B62" s="39" t="s">
        <v>54</v>
      </c>
      <c r="C62" s="23"/>
      <c r="D62" s="23"/>
      <c r="E62" s="25"/>
      <c r="F62" s="25"/>
      <c r="G62" s="9"/>
      <c r="L62" s="9"/>
      <c r="M62" s="9"/>
    </row>
    <row r="63" spans="2:13" ht="15.95" customHeight="1" thickBot="1" x14ac:dyDescent="0.35">
      <c r="B63" s="39" t="s">
        <v>55</v>
      </c>
      <c r="C63" s="15"/>
      <c r="D63" s="26"/>
      <c r="E63" s="24"/>
      <c r="F63" s="24"/>
      <c r="G63" s="9"/>
      <c r="L63" s="9"/>
      <c r="M63" s="9"/>
    </row>
    <row r="64" spans="2:13" s="95" customFormat="1" ht="17.25" thickBot="1" x14ac:dyDescent="0.35">
      <c r="B64" s="116" t="s">
        <v>56</v>
      </c>
      <c r="C64" s="269" t="s">
        <v>57</v>
      </c>
      <c r="D64" s="269"/>
      <c r="E64" s="117" t="s">
        <v>42</v>
      </c>
      <c r="F64" s="117" t="s">
        <v>34</v>
      </c>
      <c r="G64" s="9"/>
      <c r="H64" s="9"/>
      <c r="I64" s="9"/>
      <c r="J64" s="9"/>
      <c r="K64" s="9"/>
      <c r="L64" s="9"/>
      <c r="M64" s="9"/>
    </row>
    <row r="65" spans="2:13" ht="17.25" thickBot="1" x14ac:dyDescent="0.35">
      <c r="B65" s="116" t="s">
        <v>10</v>
      </c>
      <c r="C65" s="270" t="s">
        <v>58</v>
      </c>
      <c r="D65" s="270"/>
      <c r="E65" s="123">
        <f>(1/12)*100</f>
        <v>8.33</v>
      </c>
      <c r="F65" s="124">
        <f>E65%*$F$60</f>
        <v>99.87</v>
      </c>
      <c r="G65" s="9"/>
      <c r="L65" s="9"/>
      <c r="M65" s="9"/>
    </row>
    <row r="66" spans="2:13" ht="17.25" thickBot="1" x14ac:dyDescent="0.35">
      <c r="B66" s="121" t="s">
        <v>13</v>
      </c>
      <c r="C66" s="271" t="s">
        <v>59</v>
      </c>
      <c r="D66" s="271"/>
      <c r="E66" s="128">
        <f>(1/3)/12*100</f>
        <v>2.78</v>
      </c>
      <c r="F66" s="129">
        <f>E66%*$F$60</f>
        <v>33.33</v>
      </c>
      <c r="G66" s="9"/>
      <c r="L66" s="9"/>
      <c r="M66" s="9"/>
    </row>
    <row r="67" spans="2:13" ht="17.25" thickBot="1" x14ac:dyDescent="0.35">
      <c r="B67" s="269" t="s">
        <v>60</v>
      </c>
      <c r="C67" s="269"/>
      <c r="D67" s="269"/>
      <c r="E67" s="118">
        <f>SUM(E65:E66)</f>
        <v>11.11</v>
      </c>
      <c r="F67" s="119">
        <f>SUM(F65:F66)</f>
        <v>133.19999999999999</v>
      </c>
      <c r="G67" s="9"/>
      <c r="L67" s="9"/>
      <c r="M67" s="9"/>
    </row>
    <row r="68" spans="2:13" ht="30" customHeight="1" thickBot="1" x14ac:dyDescent="0.35">
      <c r="B68" s="121" t="s">
        <v>15</v>
      </c>
      <c r="C68" s="273" t="s">
        <v>61</v>
      </c>
      <c r="D68" s="273"/>
      <c r="E68" s="128">
        <f>E81*E67%</f>
        <v>4.09</v>
      </c>
      <c r="F68" s="129">
        <f>E68%*$F$60</f>
        <v>49.03</v>
      </c>
      <c r="G68" s="9"/>
      <c r="L68" s="9"/>
      <c r="M68" s="9"/>
    </row>
    <row r="69" spans="2:13" ht="17.25" thickBot="1" x14ac:dyDescent="0.35">
      <c r="B69" s="269" t="s">
        <v>53</v>
      </c>
      <c r="C69" s="269"/>
      <c r="D69" s="269"/>
      <c r="E69" s="118">
        <f>E67+E68</f>
        <v>15.2</v>
      </c>
      <c r="F69" s="120">
        <f>F67+F68</f>
        <v>182.23</v>
      </c>
      <c r="G69" s="9"/>
      <c r="H69" s="27"/>
      <c r="I69" s="27"/>
      <c r="J69" s="27"/>
      <c r="K69" s="27"/>
      <c r="L69" s="9"/>
      <c r="M69" s="9"/>
    </row>
    <row r="70" spans="2:13" ht="3" customHeight="1" x14ac:dyDescent="0.3">
      <c r="C70" s="9"/>
      <c r="D70" s="9"/>
      <c r="E70" s="9"/>
      <c r="F70" s="9"/>
      <c r="G70" s="9"/>
      <c r="H70" s="27"/>
      <c r="I70" s="27"/>
      <c r="J70" s="27"/>
      <c r="K70" s="27"/>
      <c r="L70" s="9"/>
      <c r="M70" s="9"/>
    </row>
    <row r="71" spans="2:13" ht="34.5" customHeight="1" x14ac:dyDescent="0.3">
      <c r="B71" s="211" t="s">
        <v>62</v>
      </c>
      <c r="C71" s="211"/>
      <c r="D71" s="211"/>
      <c r="E71" s="211"/>
      <c r="F71" s="211"/>
      <c r="G71" s="9"/>
      <c r="H71" s="27"/>
      <c r="I71" s="27"/>
      <c r="J71" s="27"/>
      <c r="K71" s="27"/>
      <c r="L71" s="9"/>
      <c r="M71" s="9"/>
    </row>
    <row r="72" spans="2:13" ht="33.75" customHeight="1" x14ac:dyDescent="0.3">
      <c r="B72" s="43" t="s">
        <v>63</v>
      </c>
      <c r="C72" s="210" t="s">
        <v>64</v>
      </c>
      <c r="D72" s="210"/>
      <c r="E72" s="62" t="s">
        <v>42</v>
      </c>
      <c r="F72" s="62" t="s">
        <v>34</v>
      </c>
      <c r="G72" s="9"/>
      <c r="H72" s="27"/>
      <c r="I72" s="27"/>
      <c r="J72" s="27"/>
      <c r="K72" s="27"/>
      <c r="L72" s="9"/>
      <c r="M72" s="9"/>
    </row>
    <row r="73" spans="2:13" s="27" customFormat="1" x14ac:dyDescent="0.3">
      <c r="B73" s="43" t="s">
        <v>10</v>
      </c>
      <c r="C73" s="274" t="s">
        <v>65</v>
      </c>
      <c r="D73" s="274"/>
      <c r="E73" s="125">
        <v>20</v>
      </c>
      <c r="F73" s="88">
        <f t="shared" ref="F73:F80" si="0">E73%*$F$60</f>
        <v>239.77</v>
      </c>
      <c r="L73" s="9"/>
      <c r="M73" s="9"/>
    </row>
    <row r="74" spans="2:13" s="27" customFormat="1" ht="15.75" customHeight="1" x14ac:dyDescent="0.3">
      <c r="B74" s="68" t="s">
        <v>13</v>
      </c>
      <c r="C74" s="193" t="s">
        <v>66</v>
      </c>
      <c r="D74" s="193"/>
      <c r="E74" s="74">
        <v>2.5</v>
      </c>
      <c r="F74" s="70">
        <f>E74%*$F$60</f>
        <v>29.97</v>
      </c>
      <c r="L74" s="9"/>
      <c r="M74" s="9"/>
    </row>
    <row r="75" spans="2:13" s="27" customFormat="1" x14ac:dyDescent="0.3">
      <c r="B75" s="68" t="s">
        <v>15</v>
      </c>
      <c r="C75" s="274" t="s">
        <v>67</v>
      </c>
      <c r="D75" s="274"/>
      <c r="E75" s="125">
        <v>3</v>
      </c>
      <c r="F75" s="88">
        <f t="shared" si="0"/>
        <v>35.97</v>
      </c>
      <c r="L75" s="9"/>
      <c r="M75" s="9"/>
    </row>
    <row r="76" spans="2:13" s="27" customFormat="1" ht="15" customHeight="1" x14ac:dyDescent="0.3">
      <c r="B76" s="68" t="s">
        <v>17</v>
      </c>
      <c r="C76" s="193" t="s">
        <v>68</v>
      </c>
      <c r="D76" s="193"/>
      <c r="E76" s="69">
        <v>1.5</v>
      </c>
      <c r="F76" s="70">
        <f t="shared" si="0"/>
        <v>17.98</v>
      </c>
      <c r="L76" s="9"/>
      <c r="M76" s="9"/>
    </row>
    <row r="77" spans="2:13" s="27" customFormat="1" x14ac:dyDescent="0.3">
      <c r="B77" s="68" t="s">
        <v>19</v>
      </c>
      <c r="C77" s="274" t="s">
        <v>69</v>
      </c>
      <c r="D77" s="274"/>
      <c r="E77" s="125">
        <v>1</v>
      </c>
      <c r="F77" s="88">
        <f t="shared" si="0"/>
        <v>11.99</v>
      </c>
      <c r="L77" s="9"/>
      <c r="M77" s="9"/>
    </row>
    <row r="78" spans="2:13" s="27" customFormat="1" x14ac:dyDescent="0.3">
      <c r="B78" s="68" t="s">
        <v>70</v>
      </c>
      <c r="C78" s="193" t="s">
        <v>71</v>
      </c>
      <c r="D78" s="193"/>
      <c r="E78" s="74">
        <v>0.6</v>
      </c>
      <c r="F78" s="70">
        <f t="shared" si="0"/>
        <v>7.19</v>
      </c>
      <c r="L78" s="9"/>
      <c r="M78" s="9"/>
    </row>
    <row r="79" spans="2:13" s="27" customFormat="1" ht="15" customHeight="1" x14ac:dyDescent="0.3">
      <c r="B79" s="68" t="s">
        <v>72</v>
      </c>
      <c r="C79" s="274" t="s">
        <v>73</v>
      </c>
      <c r="D79" s="274"/>
      <c r="E79" s="125">
        <v>0.2</v>
      </c>
      <c r="F79" s="88">
        <f t="shared" si="0"/>
        <v>2.4</v>
      </c>
      <c r="L79" s="9"/>
      <c r="M79" s="9"/>
    </row>
    <row r="80" spans="2:13" s="27" customFormat="1" x14ac:dyDescent="0.3">
      <c r="B80" s="68" t="s">
        <v>74</v>
      </c>
      <c r="C80" s="193" t="s">
        <v>75</v>
      </c>
      <c r="D80" s="193"/>
      <c r="E80" s="74">
        <v>8</v>
      </c>
      <c r="F80" s="70">
        <f t="shared" si="0"/>
        <v>95.91</v>
      </c>
      <c r="L80" s="9"/>
      <c r="M80" s="9"/>
    </row>
    <row r="81" spans="2:13" s="27" customFormat="1" x14ac:dyDescent="0.3">
      <c r="B81" s="190" t="s">
        <v>53</v>
      </c>
      <c r="C81" s="190"/>
      <c r="D81" s="190"/>
      <c r="E81" s="71">
        <f>SUM(E73:E80)</f>
        <v>36.799999999999997</v>
      </c>
      <c r="F81" s="73">
        <f>SUM(F73:F80)</f>
        <v>441.18</v>
      </c>
      <c r="L81" s="9"/>
      <c r="M81" s="9"/>
    </row>
    <row r="82" spans="2:13" s="27" customFormat="1" ht="3" customHeight="1" x14ac:dyDescent="0.3">
      <c r="B82" s="2"/>
      <c r="C82" s="2"/>
      <c r="D82" s="2"/>
      <c r="E82" s="2"/>
      <c r="F82" s="2"/>
      <c r="L82" s="9"/>
      <c r="M82" s="9"/>
    </row>
    <row r="83" spans="2:13" s="27" customFormat="1" x14ac:dyDescent="0.3">
      <c r="B83" s="39" t="s">
        <v>76</v>
      </c>
      <c r="C83" s="2"/>
      <c r="D83" s="2"/>
      <c r="E83" s="2"/>
      <c r="F83" s="2"/>
      <c r="L83" s="9"/>
      <c r="M83" s="9"/>
    </row>
    <row r="84" spans="2:13" s="27" customFormat="1" x14ac:dyDescent="0.3">
      <c r="B84" s="43" t="s">
        <v>77</v>
      </c>
      <c r="C84" s="208" t="s">
        <v>78</v>
      </c>
      <c r="D84" s="208"/>
      <c r="E84" s="208"/>
      <c r="F84" s="62" t="s">
        <v>34</v>
      </c>
      <c r="H84" s="9"/>
      <c r="I84" s="9"/>
      <c r="J84" s="9"/>
      <c r="K84" s="9"/>
      <c r="L84" s="9"/>
      <c r="M84" s="9"/>
    </row>
    <row r="85" spans="2:13" s="27" customFormat="1" x14ac:dyDescent="0.3">
      <c r="B85" s="43" t="s">
        <v>10</v>
      </c>
      <c r="C85" s="191" t="s">
        <v>35</v>
      </c>
      <c r="D85" s="191"/>
      <c r="E85" s="44" t="s">
        <v>36</v>
      </c>
      <c r="F85" s="45">
        <f>IF(((F32*22)-(6%*$F$26))&gt;0,((F32*22)-(6%*$F$26)),0)</f>
        <v>185.47</v>
      </c>
      <c r="H85" s="9"/>
      <c r="I85" s="9"/>
      <c r="J85" s="9"/>
      <c r="K85" s="9"/>
      <c r="L85" s="9"/>
      <c r="M85" s="9"/>
    </row>
    <row r="86" spans="2:13" s="27" customFormat="1" x14ac:dyDescent="0.3">
      <c r="B86" s="43" t="s">
        <v>13</v>
      </c>
      <c r="C86" s="202" t="s">
        <v>37</v>
      </c>
      <c r="D86" s="202"/>
      <c r="E86" s="46" t="s">
        <v>36</v>
      </c>
      <c r="F86" s="45">
        <f>F33*22</f>
        <v>726</v>
      </c>
      <c r="H86" s="9"/>
      <c r="I86" s="9"/>
      <c r="J86" s="9"/>
      <c r="K86" s="9"/>
      <c r="L86" s="9"/>
      <c r="M86" s="9"/>
    </row>
    <row r="87" spans="2:13" s="27" customFormat="1" x14ac:dyDescent="0.3">
      <c r="B87" s="43" t="s">
        <v>15</v>
      </c>
      <c r="C87" s="191" t="str">
        <f>C34</f>
        <v>Auxílio-saúde</v>
      </c>
      <c r="D87" s="191"/>
      <c r="E87" s="44" t="s">
        <v>183</v>
      </c>
      <c r="F87" s="45">
        <f>F34</f>
        <v>149</v>
      </c>
      <c r="G87" s="9"/>
      <c r="H87" s="9"/>
      <c r="I87" s="9"/>
      <c r="J87" s="9"/>
      <c r="K87" s="9"/>
      <c r="L87" s="9"/>
      <c r="M87" s="9"/>
    </row>
    <row r="88" spans="2:13" s="27" customFormat="1" x14ac:dyDescent="0.3">
      <c r="B88" s="43" t="s">
        <v>17</v>
      </c>
      <c r="C88" s="202" t="s">
        <v>184</v>
      </c>
      <c r="D88" s="202"/>
      <c r="E88" s="46" t="s">
        <v>183</v>
      </c>
      <c r="F88" s="45">
        <f>F35</f>
        <v>10.3</v>
      </c>
      <c r="G88" s="9"/>
      <c r="H88" s="9"/>
      <c r="I88" s="9"/>
      <c r="J88" s="9"/>
      <c r="K88" s="9"/>
      <c r="L88" s="9"/>
      <c r="M88" s="9"/>
    </row>
    <row r="89" spans="2:13" s="27" customFormat="1" x14ac:dyDescent="0.3">
      <c r="B89" s="43" t="s">
        <v>19</v>
      </c>
      <c r="C89" s="191" t="s">
        <v>185</v>
      </c>
      <c r="D89" s="191"/>
      <c r="E89" s="44" t="s">
        <v>183</v>
      </c>
      <c r="F89" s="45">
        <f>F36</f>
        <v>2</v>
      </c>
      <c r="G89" s="9"/>
      <c r="H89" s="9"/>
      <c r="I89" s="9"/>
      <c r="J89" s="9"/>
      <c r="K89" s="9"/>
      <c r="L89" s="9"/>
      <c r="M89" s="9"/>
    </row>
    <row r="90" spans="2:13" s="9" customFormat="1" x14ac:dyDescent="0.3">
      <c r="B90" s="209" t="s">
        <v>53</v>
      </c>
      <c r="C90" s="209"/>
      <c r="D90" s="209"/>
      <c r="E90" s="209"/>
      <c r="F90" s="65">
        <f>SUM(F85:F89)</f>
        <v>1072.77</v>
      </c>
    </row>
    <row r="91" spans="2:13" ht="9.75" customHeight="1" x14ac:dyDescent="0.3">
      <c r="B91" s="132"/>
      <c r="C91" s="15"/>
      <c r="D91" s="15"/>
      <c r="E91" s="24"/>
      <c r="F91" s="24"/>
      <c r="G91" s="9"/>
      <c r="L91" s="9"/>
      <c r="M91" s="9"/>
    </row>
    <row r="92" spans="2:13" x14ac:dyDescent="0.3">
      <c r="B92" s="39" t="s">
        <v>79</v>
      </c>
      <c r="C92" s="15"/>
      <c r="D92" s="26"/>
      <c r="E92" s="24"/>
      <c r="F92" s="24"/>
      <c r="G92" s="9"/>
      <c r="L92" s="9"/>
      <c r="M92" s="9"/>
    </row>
    <row r="93" spans="2:13" x14ac:dyDescent="0.3">
      <c r="B93" s="43">
        <v>3</v>
      </c>
      <c r="C93" s="190" t="s">
        <v>80</v>
      </c>
      <c r="D93" s="190"/>
      <c r="E93" s="62" t="s">
        <v>42</v>
      </c>
      <c r="F93" s="62" t="s">
        <v>34</v>
      </c>
      <c r="G93" s="9"/>
      <c r="L93" s="9"/>
      <c r="M93" s="9"/>
    </row>
    <row r="94" spans="2:13" x14ac:dyDescent="0.3">
      <c r="B94" s="43" t="s">
        <v>10</v>
      </c>
      <c r="C94" s="274" t="s">
        <v>81</v>
      </c>
      <c r="D94" s="274"/>
      <c r="E94" s="125">
        <f>20.19%*1/12*100</f>
        <v>1.68</v>
      </c>
      <c r="F94" s="88">
        <f t="shared" ref="F94:F99" si="1">E94%*$F$60</f>
        <v>20.14</v>
      </c>
      <c r="G94" s="9"/>
      <c r="L94" s="9"/>
      <c r="M94" s="9"/>
    </row>
    <row r="95" spans="2:13" x14ac:dyDescent="0.3">
      <c r="B95" s="68" t="s">
        <v>13</v>
      </c>
      <c r="C95" s="193" t="s">
        <v>82</v>
      </c>
      <c r="D95" s="193"/>
      <c r="E95" s="74">
        <f>E80%*E94</f>
        <v>0.13</v>
      </c>
      <c r="F95" s="70">
        <f t="shared" si="1"/>
        <v>1.56</v>
      </c>
      <c r="G95" s="9"/>
      <c r="L95" s="9"/>
      <c r="M95" s="9"/>
    </row>
    <row r="96" spans="2:13" ht="15.75" customHeight="1" x14ac:dyDescent="0.3">
      <c r="B96" s="68" t="s">
        <v>15</v>
      </c>
      <c r="C96" s="274" t="s">
        <v>83</v>
      </c>
      <c r="D96" s="274"/>
      <c r="E96" s="125">
        <f>E94%*(40%+10%)*E80%*100</f>
        <v>7.0000000000000007E-2</v>
      </c>
      <c r="F96" s="88">
        <f t="shared" si="1"/>
        <v>0.84</v>
      </c>
      <c r="G96" s="9"/>
      <c r="L96" s="9"/>
      <c r="M96" s="9"/>
    </row>
    <row r="97" spans="2:13" x14ac:dyDescent="0.3">
      <c r="B97" s="68" t="s">
        <v>17</v>
      </c>
      <c r="C97" s="193" t="s">
        <v>84</v>
      </c>
      <c r="D97" s="193"/>
      <c r="E97" s="74">
        <f>20.19%*(7/30)/12*100</f>
        <v>0.39</v>
      </c>
      <c r="F97" s="70">
        <f t="shared" si="1"/>
        <v>4.68</v>
      </c>
      <c r="G97" s="9"/>
      <c r="L97" s="9"/>
      <c r="M97" s="9"/>
    </row>
    <row r="98" spans="2:13" x14ac:dyDescent="0.3">
      <c r="B98" s="68" t="s">
        <v>19</v>
      </c>
      <c r="C98" s="274" t="s">
        <v>85</v>
      </c>
      <c r="D98" s="274"/>
      <c r="E98" s="125">
        <f>E97%*E81</f>
        <v>0.14000000000000001</v>
      </c>
      <c r="F98" s="88">
        <f t="shared" si="1"/>
        <v>1.68</v>
      </c>
      <c r="G98" s="9"/>
      <c r="L98" s="9"/>
      <c r="M98" s="9"/>
    </row>
    <row r="99" spans="2:13" x14ac:dyDescent="0.3">
      <c r="B99" s="68" t="s">
        <v>70</v>
      </c>
      <c r="C99" s="193" t="s">
        <v>86</v>
      </c>
      <c r="D99" s="193"/>
      <c r="E99" s="74">
        <f>E97%*(40%+10%)*E80%*100</f>
        <v>0.02</v>
      </c>
      <c r="F99" s="70">
        <f t="shared" si="1"/>
        <v>0.24</v>
      </c>
      <c r="G99" s="9"/>
      <c r="L99" s="9"/>
      <c r="M99" s="9"/>
    </row>
    <row r="100" spans="2:13" x14ac:dyDescent="0.3">
      <c r="B100" s="190" t="s">
        <v>60</v>
      </c>
      <c r="C100" s="190"/>
      <c r="D100" s="190"/>
      <c r="E100" s="71">
        <f>ROUNDDOWN(SUM(E94:E99),2)</f>
        <v>2.4300000000000002</v>
      </c>
      <c r="F100" s="72">
        <f>SUM(F94:F99)</f>
        <v>29.14</v>
      </c>
      <c r="G100" s="9"/>
      <c r="L100" s="9"/>
      <c r="M100" s="9"/>
    </row>
    <row r="101" spans="2:13" ht="15.95" customHeight="1" x14ac:dyDescent="0.3">
      <c r="B101" s="68" t="s">
        <v>72</v>
      </c>
      <c r="C101" s="193" t="s">
        <v>87</v>
      </c>
      <c r="D101" s="193"/>
      <c r="E101" s="69">
        <f>E81*E100%</f>
        <v>0.89</v>
      </c>
      <c r="F101" s="70">
        <f>E101%*$F$60</f>
        <v>10.67</v>
      </c>
      <c r="G101" s="9"/>
      <c r="L101" s="9"/>
      <c r="M101" s="9"/>
    </row>
    <row r="102" spans="2:13" ht="15.95" customHeight="1" x14ac:dyDescent="0.3">
      <c r="B102" s="206" t="s">
        <v>53</v>
      </c>
      <c r="C102" s="206"/>
      <c r="D102" s="206"/>
      <c r="E102" s="77">
        <f>SUM(E100:E101)</f>
        <v>3.32</v>
      </c>
      <c r="F102" s="78">
        <f>SUM(F100:F101)</f>
        <v>39.81</v>
      </c>
      <c r="G102" s="9"/>
      <c r="L102" s="9"/>
      <c r="M102" s="9"/>
    </row>
    <row r="103" spans="2:13" ht="15.95" customHeight="1" x14ac:dyDescent="0.3">
      <c r="B103" s="15"/>
      <c r="C103" s="15"/>
      <c r="D103" s="15"/>
      <c r="E103" s="24"/>
      <c r="F103" s="24"/>
      <c r="G103" s="9"/>
      <c r="L103" s="9"/>
      <c r="M103" s="9"/>
    </row>
    <row r="104" spans="2:13" x14ac:dyDescent="0.3">
      <c r="B104" s="39" t="s">
        <v>88</v>
      </c>
      <c r="C104" s="15"/>
      <c r="D104" s="26"/>
      <c r="E104" s="1"/>
      <c r="F104" s="1"/>
      <c r="G104" s="9"/>
      <c r="L104" s="9"/>
      <c r="M104" s="9"/>
    </row>
    <row r="105" spans="2:13" x14ac:dyDescent="0.3">
      <c r="B105" s="39" t="s">
        <v>89</v>
      </c>
      <c r="C105" s="15"/>
      <c r="D105" s="26"/>
      <c r="E105" s="24"/>
      <c r="F105" s="24"/>
      <c r="G105" s="9"/>
      <c r="L105" s="9"/>
      <c r="M105" s="9"/>
    </row>
    <row r="106" spans="2:13" ht="15.95" customHeight="1" x14ac:dyDescent="0.3">
      <c r="B106" s="43" t="s">
        <v>90</v>
      </c>
      <c r="C106" s="206" t="s">
        <v>41</v>
      </c>
      <c r="D106" s="206"/>
      <c r="E106" s="62" t="s">
        <v>42</v>
      </c>
      <c r="F106" s="62" t="s">
        <v>34</v>
      </c>
      <c r="G106" s="9"/>
      <c r="L106" s="9"/>
      <c r="M106" s="9"/>
    </row>
    <row r="107" spans="2:13" ht="15.95" customHeight="1" x14ac:dyDescent="0.3">
      <c r="B107" s="68" t="s">
        <v>10</v>
      </c>
      <c r="C107" s="274" t="s">
        <v>91</v>
      </c>
      <c r="D107" s="274"/>
      <c r="E107" s="125">
        <f>(1/12)*100</f>
        <v>8.33</v>
      </c>
      <c r="F107" s="88">
        <f t="shared" ref="F107:F112" si="2">E107%*$F$60</f>
        <v>99.87</v>
      </c>
      <c r="G107" s="9"/>
      <c r="L107" s="9"/>
      <c r="M107" s="9"/>
    </row>
    <row r="108" spans="2:13" ht="15.95" customHeight="1" x14ac:dyDescent="0.3">
      <c r="B108" s="68" t="s">
        <v>13</v>
      </c>
      <c r="C108" s="193" t="s">
        <v>41</v>
      </c>
      <c r="D108" s="193"/>
      <c r="E108" s="74">
        <f>(8/30)/12*100</f>
        <v>2.2200000000000002</v>
      </c>
      <c r="F108" s="70">
        <f t="shared" si="2"/>
        <v>26.61</v>
      </c>
      <c r="G108" s="9"/>
      <c r="L108" s="9"/>
      <c r="M108" s="9"/>
    </row>
    <row r="109" spans="2:13" x14ac:dyDescent="0.3">
      <c r="B109" s="68" t="s">
        <v>15</v>
      </c>
      <c r="C109" s="274" t="s">
        <v>92</v>
      </c>
      <c r="D109" s="274"/>
      <c r="E109" s="125">
        <f>(((20/30)/12)*1.5%)*100</f>
        <v>0.08</v>
      </c>
      <c r="F109" s="88">
        <f t="shared" si="2"/>
        <v>0.96</v>
      </c>
      <c r="G109" s="9"/>
      <c r="L109" s="9"/>
      <c r="M109" s="9"/>
    </row>
    <row r="110" spans="2:13" x14ac:dyDescent="0.3">
      <c r="B110" s="68" t="s">
        <v>17</v>
      </c>
      <c r="C110" s="193" t="s">
        <v>93</v>
      </c>
      <c r="D110" s="193"/>
      <c r="E110" s="74">
        <f>(15/30)/12*0.86%*100</f>
        <v>0.04</v>
      </c>
      <c r="F110" s="70">
        <f t="shared" si="2"/>
        <v>0.48</v>
      </c>
      <c r="G110" s="9"/>
      <c r="L110" s="9"/>
      <c r="M110" s="9"/>
    </row>
    <row r="111" spans="2:13" x14ac:dyDescent="0.3">
      <c r="B111" s="68" t="s">
        <v>19</v>
      </c>
      <c r="C111" s="274" t="s">
        <v>94</v>
      </c>
      <c r="D111" s="274"/>
      <c r="E111" s="125">
        <f>((6/12)*36.8%*62.2%*81.2%*((1.86/31))/12)*100</f>
        <v>0.05</v>
      </c>
      <c r="F111" s="88">
        <f t="shared" si="2"/>
        <v>0.6</v>
      </c>
      <c r="G111" s="9"/>
      <c r="L111" s="9"/>
      <c r="M111" s="9"/>
    </row>
    <row r="112" spans="2:13" x14ac:dyDescent="0.3">
      <c r="B112" s="68" t="s">
        <v>70</v>
      </c>
      <c r="C112" s="214" t="str">
        <f>C45</f>
        <v>Outros (Especificar)</v>
      </c>
      <c r="D112" s="193"/>
      <c r="E112" s="103">
        <f>$F$45</f>
        <v>0</v>
      </c>
      <c r="F112" s="70">
        <f t="shared" si="2"/>
        <v>0</v>
      </c>
      <c r="G112" s="9"/>
      <c r="L112" s="9"/>
      <c r="M112" s="9"/>
    </row>
    <row r="113" spans="1:14" ht="15.75" customHeight="1" x14ac:dyDescent="0.3">
      <c r="B113" s="190" t="s">
        <v>60</v>
      </c>
      <c r="C113" s="190"/>
      <c r="D113" s="190"/>
      <c r="E113" s="71">
        <f>SUM(E107:E112)</f>
        <v>10.72</v>
      </c>
      <c r="F113" s="72">
        <f>SUM(F107:F112)</f>
        <v>128.52000000000001</v>
      </c>
      <c r="G113" s="9"/>
      <c r="L113" s="9"/>
      <c r="M113" s="9"/>
    </row>
    <row r="114" spans="1:14" x14ac:dyDescent="0.3">
      <c r="B114" s="68" t="s">
        <v>72</v>
      </c>
      <c r="C114" s="193" t="s">
        <v>95</v>
      </c>
      <c r="D114" s="193"/>
      <c r="E114" s="69">
        <f>ROUNDDOWN(E81*E113%,2)</f>
        <v>3.94</v>
      </c>
      <c r="F114" s="70">
        <f>E114%*$F$60</f>
        <v>47.24</v>
      </c>
      <c r="G114" s="9"/>
      <c r="L114" s="9"/>
      <c r="M114" s="9"/>
    </row>
    <row r="115" spans="1:14" x14ac:dyDescent="0.3">
      <c r="B115" s="206" t="s">
        <v>53</v>
      </c>
      <c r="C115" s="206"/>
      <c r="D115" s="206"/>
      <c r="E115" s="77">
        <f>SUM(E113:E114)</f>
        <v>14.66</v>
      </c>
      <c r="F115" s="79">
        <f>SUM(F113:F114)</f>
        <v>175.76</v>
      </c>
      <c r="G115" s="9"/>
      <c r="L115" s="9"/>
      <c r="M115" s="9"/>
    </row>
    <row r="116" spans="1:14" x14ac:dyDescent="0.3">
      <c r="B116" s="26"/>
      <c r="C116" s="20"/>
      <c r="D116" s="28"/>
      <c r="E116" s="20"/>
      <c r="F116" s="29"/>
      <c r="G116" s="9"/>
      <c r="L116" s="9"/>
      <c r="M116" s="9"/>
    </row>
    <row r="117" spans="1:14" x14ac:dyDescent="0.3">
      <c r="B117" s="39" t="s">
        <v>96</v>
      </c>
      <c r="C117" s="15"/>
      <c r="D117" s="15"/>
      <c r="E117" s="24"/>
      <c r="F117" s="24"/>
      <c r="G117" s="9"/>
      <c r="L117" s="9"/>
      <c r="M117" s="9"/>
    </row>
    <row r="118" spans="1:14" ht="15.75" customHeight="1" x14ac:dyDescent="0.3">
      <c r="A118" s="131"/>
      <c r="B118" s="43">
        <v>5</v>
      </c>
      <c r="C118" s="208" t="s">
        <v>38</v>
      </c>
      <c r="D118" s="208"/>
      <c r="E118" s="208"/>
      <c r="F118" s="62" t="s">
        <v>34</v>
      </c>
      <c r="G118" s="9"/>
      <c r="L118" s="9"/>
      <c r="M118" s="9"/>
    </row>
    <row r="119" spans="1:14" x14ac:dyDescent="0.3">
      <c r="B119" s="49" t="s">
        <v>10</v>
      </c>
      <c r="C119" s="274" t="s">
        <v>39</v>
      </c>
      <c r="D119" s="274"/>
      <c r="E119" s="274"/>
      <c r="F119" s="88">
        <f>F39</f>
        <v>87.92</v>
      </c>
      <c r="G119" s="9"/>
      <c r="L119" s="9"/>
      <c r="M119" s="9"/>
    </row>
    <row r="120" spans="1:14" x14ac:dyDescent="0.3">
      <c r="B120" s="49" t="s">
        <v>13</v>
      </c>
      <c r="C120" s="136" t="s">
        <v>181</v>
      </c>
      <c r="D120" s="136"/>
      <c r="E120" s="136"/>
      <c r="F120" s="88">
        <f>F40</f>
        <v>14.67</v>
      </c>
      <c r="G120" s="9"/>
      <c r="L120" s="9"/>
      <c r="M120" s="9"/>
    </row>
    <row r="121" spans="1:14" x14ac:dyDescent="0.3">
      <c r="B121" s="49" t="s">
        <v>15</v>
      </c>
      <c r="C121" s="193" t="s">
        <v>40</v>
      </c>
      <c r="D121" s="193"/>
      <c r="E121" s="193"/>
      <c r="F121" s="70">
        <f>F41</f>
        <v>192.17</v>
      </c>
      <c r="G121" s="9"/>
      <c r="L121" s="9"/>
      <c r="M121" s="9"/>
    </row>
    <row r="122" spans="1:14" x14ac:dyDescent="0.3">
      <c r="B122" s="49" t="s">
        <v>17</v>
      </c>
      <c r="C122" s="275" t="str">
        <f>C42</f>
        <v>Equipamentos</v>
      </c>
      <c r="D122" s="274"/>
      <c r="E122" s="274"/>
      <c r="F122" s="88">
        <f>F42</f>
        <v>11.62</v>
      </c>
      <c r="G122" s="9"/>
      <c r="L122" s="9"/>
      <c r="M122" s="9"/>
    </row>
    <row r="123" spans="1:14" x14ac:dyDescent="0.3">
      <c r="B123" s="209" t="s">
        <v>53</v>
      </c>
      <c r="C123" s="209"/>
      <c r="D123" s="209"/>
      <c r="E123" s="209"/>
      <c r="F123" s="65">
        <f>SUM(F119:F122)</f>
        <v>306.38</v>
      </c>
      <c r="G123" s="9"/>
      <c r="L123" s="9"/>
      <c r="M123" s="9"/>
    </row>
    <row r="124" spans="1:14" x14ac:dyDescent="0.3">
      <c r="B124" s="26"/>
      <c r="C124" s="20"/>
      <c r="D124" s="28"/>
      <c r="E124" s="20"/>
      <c r="F124" s="29"/>
      <c r="G124" s="9"/>
      <c r="L124" s="9"/>
      <c r="M124" s="9"/>
    </row>
    <row r="125" spans="1:14" s="9" customFormat="1" ht="15" customHeight="1" x14ac:dyDescent="0.3">
      <c r="B125" s="212" t="s">
        <v>97</v>
      </c>
      <c r="C125" s="212"/>
      <c r="D125" s="212"/>
      <c r="E125" s="212"/>
      <c r="F125" s="212"/>
      <c r="N125" s="2"/>
    </row>
    <row r="126" spans="1:14" s="9" customFormat="1" x14ac:dyDescent="0.3">
      <c r="B126" s="43">
        <v>6</v>
      </c>
      <c r="C126" s="190" t="s">
        <v>98</v>
      </c>
      <c r="D126" s="190"/>
      <c r="E126" s="62" t="s">
        <v>42</v>
      </c>
      <c r="F126" s="62" t="s">
        <v>34</v>
      </c>
      <c r="N126" s="2"/>
    </row>
    <row r="127" spans="1:14" s="9" customFormat="1" x14ac:dyDescent="0.3">
      <c r="B127" s="43" t="s">
        <v>10</v>
      </c>
      <c r="C127" s="274" t="s">
        <v>99</v>
      </c>
      <c r="D127" s="274"/>
      <c r="E127" s="87">
        <f>$F$48</f>
        <v>5.31</v>
      </c>
      <c r="F127" s="88">
        <f>E127%*($F$60+$F$69+$F$81+$F$90+$F$102+$F$115+$F$123)</f>
        <v>181.44</v>
      </c>
    </row>
    <row r="128" spans="1:14" s="9" customFormat="1" ht="15.75" customHeight="1" x14ac:dyDescent="0.3">
      <c r="B128" s="68" t="s">
        <v>13</v>
      </c>
      <c r="C128" s="193" t="s">
        <v>45</v>
      </c>
      <c r="D128" s="193"/>
      <c r="E128" s="81">
        <f>$F$49</f>
        <v>7.2</v>
      </c>
      <c r="F128" s="70">
        <f>E128%*($F$60+$F$69+$F$81+$F$90+$F$102+$F$115+$F$123+$F$127)</f>
        <v>259.08999999999997</v>
      </c>
    </row>
    <row r="129" spans="2:14" s="9" customFormat="1" x14ac:dyDescent="0.3">
      <c r="B129" s="68" t="s">
        <v>15</v>
      </c>
      <c r="C129" s="274" t="s">
        <v>100</v>
      </c>
      <c r="D129" s="274"/>
      <c r="E129" s="87">
        <f>E130+E131+E132</f>
        <v>8.65</v>
      </c>
      <c r="F129" s="88">
        <f>SUM(F130:F132)</f>
        <v>333.68</v>
      </c>
    </row>
    <row r="130" spans="2:14" s="9" customFormat="1" ht="15.75" customHeight="1" x14ac:dyDescent="0.3">
      <c r="B130" s="86" t="s">
        <v>101</v>
      </c>
      <c r="C130" s="223" t="s">
        <v>46</v>
      </c>
      <c r="D130" s="223"/>
      <c r="E130" s="96">
        <f>F50</f>
        <v>0.65</v>
      </c>
      <c r="F130" s="97">
        <f>E130%*($F$60+$F$69+$F$81+$F$90+$F$102+$F$115+$F$123+$F$127+$F$128)</f>
        <v>25.07</v>
      </c>
    </row>
    <row r="131" spans="2:14" s="9" customFormat="1" x14ac:dyDescent="0.3">
      <c r="B131" s="86" t="s">
        <v>102</v>
      </c>
      <c r="C131" s="276" t="s">
        <v>47</v>
      </c>
      <c r="D131" s="276"/>
      <c r="E131" s="126">
        <f>F51</f>
        <v>3</v>
      </c>
      <c r="F131" s="127">
        <f>E131%*($F$60+$F$69+$F$81+$F$90+$F$102+$F$115+$F$123+$F$127+$F$128)</f>
        <v>115.73</v>
      </c>
    </row>
    <row r="132" spans="2:14" s="30" customFormat="1" x14ac:dyDescent="0.3">
      <c r="B132" s="86" t="s">
        <v>103</v>
      </c>
      <c r="C132" s="223" t="s">
        <v>104</v>
      </c>
      <c r="D132" s="223"/>
      <c r="E132" s="96">
        <f>F52</f>
        <v>5</v>
      </c>
      <c r="F132" s="97">
        <f>E132%*($F$60+$F$69+$F$81+$F$90+$F$102+$F$115+$F$123+$F$127+$F$128)</f>
        <v>192.88</v>
      </c>
      <c r="H132" s="9"/>
      <c r="I132" s="9"/>
      <c r="J132" s="9"/>
      <c r="K132" s="9"/>
      <c r="L132" s="9"/>
      <c r="M132" s="9"/>
      <c r="N132" s="9"/>
    </row>
    <row r="133" spans="2:14" s="30" customFormat="1" x14ac:dyDescent="0.3">
      <c r="B133" s="190" t="s">
        <v>174</v>
      </c>
      <c r="C133" s="190"/>
      <c r="D133" s="190"/>
      <c r="E133" s="71">
        <f>E127+E129+E128</f>
        <v>21.16</v>
      </c>
      <c r="F133" s="82">
        <f>F127+F129+F128</f>
        <v>774.21</v>
      </c>
      <c r="H133" s="9"/>
      <c r="I133" s="9"/>
      <c r="J133" s="9"/>
      <c r="K133" s="9"/>
      <c r="L133" s="9"/>
      <c r="M133" s="9"/>
      <c r="N133" s="9"/>
    </row>
    <row r="134" spans="2:14" s="30" customFormat="1" ht="30.75" customHeight="1" x14ac:dyDescent="0.3">
      <c r="B134" s="68" t="s">
        <v>17</v>
      </c>
      <c r="C134" s="207" t="s">
        <v>105</v>
      </c>
      <c r="D134" s="207"/>
      <c r="E134" s="69">
        <f>E81*E133%</f>
        <v>7.79</v>
      </c>
      <c r="F134" s="70">
        <f>E81%*$F$133</f>
        <v>284.91000000000003</v>
      </c>
    </row>
    <row r="135" spans="2:14" s="30" customFormat="1" x14ac:dyDescent="0.3">
      <c r="B135" s="190" t="s">
        <v>53</v>
      </c>
      <c r="C135" s="190"/>
      <c r="D135" s="190"/>
      <c r="E135" s="84">
        <f>SUM(E133:E134)</f>
        <v>28.95</v>
      </c>
      <c r="F135" s="82">
        <f>SUM(F133:F134)</f>
        <v>1059.1199999999999</v>
      </c>
    </row>
    <row r="136" spans="2:14" s="30" customFormat="1" x14ac:dyDescent="0.3">
      <c r="B136" s="26"/>
      <c r="C136" s="20"/>
      <c r="D136" s="20"/>
      <c r="E136" s="1"/>
      <c r="F136" s="1"/>
    </row>
    <row r="137" spans="2:14" s="30" customFormat="1" ht="20.25" x14ac:dyDescent="0.3">
      <c r="B137" s="40" t="s">
        <v>106</v>
      </c>
      <c r="C137" s="20"/>
      <c r="D137" s="20"/>
      <c r="E137" s="20"/>
      <c r="F137" s="29"/>
    </row>
    <row r="138" spans="2:14" s="32" customFormat="1" x14ac:dyDescent="0.3">
      <c r="B138" s="31"/>
      <c r="C138" s="20"/>
      <c r="D138" s="20"/>
      <c r="E138" s="20"/>
      <c r="F138" s="29"/>
      <c r="H138" s="30"/>
      <c r="I138" s="30"/>
      <c r="J138" s="30"/>
      <c r="K138" s="30"/>
      <c r="L138" s="30"/>
      <c r="M138" s="30"/>
      <c r="N138" s="30"/>
    </row>
    <row r="139" spans="2:14" s="33" customFormat="1" x14ac:dyDescent="0.3">
      <c r="B139" s="206" t="s">
        <v>175</v>
      </c>
      <c r="C139" s="206"/>
      <c r="D139" s="206"/>
      <c r="E139" s="206"/>
      <c r="F139" s="62" t="s">
        <v>34</v>
      </c>
      <c r="H139" s="30"/>
      <c r="I139" s="30"/>
      <c r="J139" s="30"/>
      <c r="K139" s="30"/>
      <c r="L139" s="30"/>
      <c r="M139" s="30"/>
      <c r="N139" s="30"/>
    </row>
    <row r="140" spans="2:14" s="30" customFormat="1" x14ac:dyDescent="0.3">
      <c r="B140" s="43" t="s">
        <v>10</v>
      </c>
      <c r="C140" s="274" t="s">
        <v>108</v>
      </c>
      <c r="D140" s="274"/>
      <c r="E140" s="274"/>
      <c r="F140" s="88">
        <f>F60</f>
        <v>1198.8699999999999</v>
      </c>
      <c r="H140" s="32"/>
      <c r="I140" s="32"/>
      <c r="J140" s="32"/>
      <c r="K140" s="32"/>
      <c r="L140" s="32"/>
      <c r="M140" s="32"/>
      <c r="N140" s="32"/>
    </row>
    <row r="141" spans="2:14" s="34" customFormat="1" x14ac:dyDescent="0.3">
      <c r="B141" s="68" t="s">
        <v>13</v>
      </c>
      <c r="C141" s="193" t="s">
        <v>109</v>
      </c>
      <c r="D141" s="193"/>
      <c r="E141" s="193"/>
      <c r="F141" s="70">
        <f>F69+F81+F90</f>
        <v>1696.18</v>
      </c>
      <c r="H141" s="33"/>
      <c r="I141" s="33"/>
      <c r="J141" s="33"/>
      <c r="K141" s="33"/>
      <c r="L141" s="33"/>
      <c r="M141" s="33"/>
      <c r="N141" s="33"/>
    </row>
    <row r="142" spans="2:14" s="34" customFormat="1" x14ac:dyDescent="0.3">
      <c r="B142" s="68" t="s">
        <v>15</v>
      </c>
      <c r="C142" s="274" t="s">
        <v>110</v>
      </c>
      <c r="D142" s="274"/>
      <c r="E142" s="274"/>
      <c r="F142" s="88">
        <f>F102</f>
        <v>39.81</v>
      </c>
      <c r="H142" s="30"/>
      <c r="I142" s="30"/>
      <c r="J142" s="30"/>
      <c r="K142" s="30"/>
      <c r="L142" s="30"/>
      <c r="M142" s="30"/>
      <c r="N142" s="30"/>
    </row>
    <row r="143" spans="2:14" s="34" customFormat="1" x14ac:dyDescent="0.3">
      <c r="B143" s="68" t="s">
        <v>17</v>
      </c>
      <c r="C143" s="193" t="s">
        <v>111</v>
      </c>
      <c r="D143" s="193"/>
      <c r="E143" s="193"/>
      <c r="F143" s="70">
        <f>F115</f>
        <v>175.76</v>
      </c>
    </row>
    <row r="144" spans="2:14" s="34" customFormat="1" x14ac:dyDescent="0.3">
      <c r="B144" s="68" t="s">
        <v>19</v>
      </c>
      <c r="C144" s="274" t="s">
        <v>112</v>
      </c>
      <c r="D144" s="274"/>
      <c r="E144" s="274"/>
      <c r="F144" s="88">
        <f>F123</f>
        <v>306.38</v>
      </c>
    </row>
    <row r="145" spans="2:14" s="34" customFormat="1" x14ac:dyDescent="0.3">
      <c r="B145" s="68" t="s">
        <v>113</v>
      </c>
      <c r="C145" s="193" t="s">
        <v>114</v>
      </c>
      <c r="D145" s="193"/>
      <c r="E145" s="193"/>
      <c r="F145" s="70">
        <f>F127+F128</f>
        <v>440.53</v>
      </c>
    </row>
    <row r="146" spans="2:14" s="30" customFormat="1" x14ac:dyDescent="0.3">
      <c r="B146" s="206" t="s">
        <v>60</v>
      </c>
      <c r="C146" s="206"/>
      <c r="D146" s="206"/>
      <c r="E146" s="206"/>
      <c r="F146" s="82">
        <f>SUM(F140:F145)</f>
        <v>3857.53</v>
      </c>
      <c r="H146" s="34"/>
      <c r="I146" s="34"/>
      <c r="J146" s="34"/>
      <c r="K146" s="34"/>
      <c r="L146" s="34"/>
      <c r="M146" s="34"/>
      <c r="N146" s="34"/>
    </row>
    <row r="147" spans="2:14" s="9" customFormat="1" x14ac:dyDescent="0.3">
      <c r="B147" s="68" t="s">
        <v>115</v>
      </c>
      <c r="C147" s="193" t="s">
        <v>116</v>
      </c>
      <c r="D147" s="193"/>
      <c r="E147" s="193"/>
      <c r="F147" s="70">
        <f>F129</f>
        <v>333.68</v>
      </c>
      <c r="H147" s="34"/>
      <c r="I147" s="34"/>
      <c r="J147" s="34"/>
      <c r="K147" s="34"/>
      <c r="L147" s="34"/>
      <c r="M147" s="34"/>
      <c r="N147" s="34"/>
    </row>
    <row r="148" spans="2:14" s="9" customFormat="1" ht="33.75" customHeight="1" x14ac:dyDescent="0.3">
      <c r="B148" s="68" t="s">
        <v>117</v>
      </c>
      <c r="C148" s="277" t="s">
        <v>118</v>
      </c>
      <c r="D148" s="277"/>
      <c r="E148" s="277"/>
      <c r="F148" s="88">
        <f>F134</f>
        <v>284.91000000000003</v>
      </c>
      <c r="H148" s="30"/>
      <c r="I148" s="30"/>
      <c r="J148" s="30"/>
      <c r="K148" s="30"/>
      <c r="L148" s="30"/>
      <c r="M148" s="30"/>
      <c r="N148" s="30"/>
    </row>
    <row r="149" spans="2:14" s="9" customFormat="1" x14ac:dyDescent="0.3">
      <c r="B149" s="206" t="s">
        <v>176</v>
      </c>
      <c r="C149" s="206"/>
      <c r="D149" s="206"/>
      <c r="E149" s="206"/>
      <c r="F149" s="82">
        <f>F146+F147+F148</f>
        <v>4476.12</v>
      </c>
    </row>
    <row r="150" spans="2:14" s="9" customFormat="1" ht="15.75" customHeight="1" x14ac:dyDescent="0.3">
      <c r="B150" s="26"/>
      <c r="C150" s="20"/>
      <c r="D150" s="20"/>
      <c r="E150" s="20"/>
      <c r="F150" s="29"/>
    </row>
    <row r="151" spans="2:14" ht="29.25" customHeight="1" x14ac:dyDescent="0.3">
      <c r="B151" s="40" t="s">
        <v>120</v>
      </c>
      <c r="C151" s="20"/>
      <c r="D151" s="20"/>
      <c r="E151" s="20"/>
      <c r="F151" s="29"/>
      <c r="G151" s="9"/>
      <c r="L151" s="9"/>
      <c r="M151" s="9"/>
      <c r="N151" s="9"/>
    </row>
    <row r="152" spans="2:14" x14ac:dyDescent="0.3">
      <c r="B152" s="31"/>
      <c r="C152" s="20"/>
      <c r="D152" s="20"/>
      <c r="E152" s="20"/>
      <c r="F152" s="29"/>
      <c r="G152" s="9"/>
      <c r="L152" s="9"/>
      <c r="M152" s="9"/>
      <c r="N152" s="9"/>
    </row>
    <row r="153" spans="2:14" x14ac:dyDescent="0.3">
      <c r="B153" s="206" t="s">
        <v>121</v>
      </c>
      <c r="C153" s="206"/>
      <c r="D153" s="206"/>
      <c r="E153" s="206"/>
      <c r="F153" s="62" t="s">
        <v>42</v>
      </c>
      <c r="G153" s="9"/>
      <c r="L153" s="9"/>
      <c r="M153" s="9"/>
      <c r="N153" s="9"/>
    </row>
    <row r="154" spans="2:14" x14ac:dyDescent="0.3">
      <c r="B154" s="68" t="s">
        <v>56</v>
      </c>
      <c r="C154" s="274" t="s">
        <v>57</v>
      </c>
      <c r="D154" s="274"/>
      <c r="E154" s="274"/>
      <c r="F154" s="88">
        <f>E69</f>
        <v>15.2</v>
      </c>
      <c r="G154" s="9"/>
      <c r="L154" s="9"/>
      <c r="M154" s="9"/>
      <c r="N154" s="9"/>
    </row>
    <row r="155" spans="2:14" x14ac:dyDescent="0.3">
      <c r="B155" s="43" t="s">
        <v>63</v>
      </c>
      <c r="C155" s="193" t="s">
        <v>122</v>
      </c>
      <c r="D155" s="193"/>
      <c r="E155" s="193"/>
      <c r="F155" s="70">
        <f>E81</f>
        <v>36.799999999999997</v>
      </c>
      <c r="G155" s="9"/>
      <c r="L155" s="9"/>
      <c r="M155" s="9"/>
      <c r="N155" s="9"/>
    </row>
    <row r="156" spans="2:14" x14ac:dyDescent="0.3">
      <c r="B156" s="68">
        <v>3</v>
      </c>
      <c r="C156" s="274" t="s">
        <v>80</v>
      </c>
      <c r="D156" s="274"/>
      <c r="E156" s="274"/>
      <c r="F156" s="88">
        <f>E102</f>
        <v>3.32</v>
      </c>
    </row>
    <row r="157" spans="2:14" x14ac:dyDescent="0.3">
      <c r="B157" s="68" t="s">
        <v>90</v>
      </c>
      <c r="C157" s="193" t="s">
        <v>123</v>
      </c>
      <c r="D157" s="193"/>
      <c r="E157" s="193"/>
      <c r="F157" s="70">
        <f>E115</f>
        <v>14.66</v>
      </c>
    </row>
    <row r="158" spans="2:14" x14ac:dyDescent="0.3">
      <c r="B158" s="206" t="s">
        <v>53</v>
      </c>
      <c r="C158" s="206"/>
      <c r="D158" s="206"/>
      <c r="E158" s="206"/>
      <c r="F158" s="82">
        <f>SUM(F154:F157)</f>
        <v>69.98</v>
      </c>
    </row>
    <row r="159" spans="2:14" ht="52.5" customHeight="1" x14ac:dyDescent="0.3">
      <c r="B159" s="26"/>
      <c r="C159" s="20"/>
      <c r="D159" s="20"/>
      <c r="E159" s="20"/>
      <c r="F159" s="29"/>
    </row>
    <row r="160" spans="2:14" x14ac:dyDescent="0.3">
      <c r="B160" s="85" t="s">
        <v>124</v>
      </c>
      <c r="C160" s="218" t="s">
        <v>125</v>
      </c>
      <c r="D160" s="218"/>
      <c r="E160" s="218"/>
      <c r="F160" s="218"/>
    </row>
    <row r="161" spans="2:11" x14ac:dyDescent="0.3">
      <c r="B161" s="68" t="s">
        <v>126</v>
      </c>
      <c r="C161" s="278" t="s">
        <v>127</v>
      </c>
      <c r="D161" s="278"/>
      <c r="E161" s="278"/>
      <c r="F161" s="278"/>
    </row>
    <row r="162" spans="2:11" ht="30" customHeight="1" x14ac:dyDescent="0.3">
      <c r="B162" s="68" t="s">
        <v>128</v>
      </c>
      <c r="C162" s="216" t="s">
        <v>129</v>
      </c>
      <c r="D162" s="216"/>
      <c r="E162" s="216"/>
      <c r="F162" s="216"/>
    </row>
    <row r="163" spans="2:11" x14ac:dyDescent="0.3">
      <c r="B163" s="68" t="s">
        <v>130</v>
      </c>
      <c r="C163" s="278" t="s">
        <v>131</v>
      </c>
      <c r="D163" s="278"/>
      <c r="E163" s="278"/>
      <c r="F163" s="278"/>
      <c r="G163" s="2"/>
    </row>
    <row r="164" spans="2:11" x14ac:dyDescent="0.3">
      <c r="B164" s="68" t="s">
        <v>132</v>
      </c>
      <c r="C164" s="215" t="s">
        <v>133</v>
      </c>
      <c r="D164" s="215"/>
      <c r="E164" s="215"/>
      <c r="F164" s="215"/>
      <c r="G164" s="2"/>
    </row>
    <row r="165" spans="2:11" x14ac:dyDescent="0.15">
      <c r="B165" s="68" t="s">
        <v>134</v>
      </c>
      <c r="C165" s="278" t="s">
        <v>135</v>
      </c>
      <c r="D165" s="278"/>
      <c r="E165" s="278"/>
      <c r="F165" s="278"/>
      <c r="G165" s="2"/>
      <c r="H165" s="2"/>
      <c r="I165" s="2"/>
      <c r="J165" s="2"/>
      <c r="K165" s="2"/>
    </row>
    <row r="166" spans="2:11" x14ac:dyDescent="0.15">
      <c r="B166" s="68" t="s">
        <v>136</v>
      </c>
      <c r="C166" s="215" t="s">
        <v>137</v>
      </c>
      <c r="D166" s="215"/>
      <c r="E166" s="215"/>
      <c r="F166" s="215"/>
      <c r="G166" s="2"/>
      <c r="H166" s="2"/>
      <c r="I166" s="2"/>
      <c r="J166" s="2"/>
      <c r="K166" s="2"/>
    </row>
    <row r="167" spans="2:11" ht="30" customHeight="1" x14ac:dyDescent="0.15">
      <c r="B167" s="68" t="s">
        <v>138</v>
      </c>
      <c r="C167" s="278" t="s">
        <v>139</v>
      </c>
      <c r="D167" s="278"/>
      <c r="E167" s="278"/>
      <c r="F167" s="278"/>
      <c r="G167" s="2"/>
      <c r="H167" s="2"/>
      <c r="I167" s="2"/>
      <c r="J167" s="2"/>
      <c r="K167" s="2"/>
    </row>
    <row r="168" spans="2:11" ht="30" customHeight="1" x14ac:dyDescent="0.15">
      <c r="B168" s="68" t="s">
        <v>140</v>
      </c>
      <c r="C168" s="215" t="s">
        <v>141</v>
      </c>
      <c r="D168" s="215"/>
      <c r="E168" s="215"/>
      <c r="F168" s="215"/>
      <c r="G168" s="2"/>
      <c r="H168" s="2"/>
      <c r="I168" s="2"/>
      <c r="J168" s="2"/>
      <c r="K168" s="2"/>
    </row>
    <row r="169" spans="2:11" ht="56.25" customHeight="1" x14ac:dyDescent="0.15">
      <c r="B169" s="68" t="s">
        <v>142</v>
      </c>
      <c r="C169" s="217" t="s">
        <v>143</v>
      </c>
      <c r="D169" s="217"/>
      <c r="E169" s="217"/>
      <c r="F169" s="217"/>
      <c r="G169" s="2"/>
      <c r="H169" s="2"/>
      <c r="I169" s="2"/>
      <c r="J169" s="2"/>
      <c r="K169" s="2"/>
    </row>
    <row r="170" spans="2:11" ht="77.25" customHeight="1" x14ac:dyDescent="0.15">
      <c r="B170" s="68" t="s">
        <v>144</v>
      </c>
      <c r="C170" s="215" t="s">
        <v>145</v>
      </c>
      <c r="D170" s="215"/>
      <c r="E170" s="215"/>
      <c r="F170" s="215"/>
      <c r="G170" s="2"/>
      <c r="H170" s="2"/>
      <c r="I170" s="2"/>
      <c r="J170" s="2"/>
      <c r="K170" s="2"/>
    </row>
    <row r="171" spans="2:11" ht="87.75" customHeight="1" x14ac:dyDescent="0.15">
      <c r="B171" s="68" t="s">
        <v>146</v>
      </c>
      <c r="C171" s="217" t="s">
        <v>147</v>
      </c>
      <c r="D171" s="217"/>
      <c r="E171" s="217"/>
      <c r="F171" s="217"/>
      <c r="G171" s="2"/>
      <c r="H171" s="2"/>
      <c r="I171" s="2"/>
      <c r="J171" s="2"/>
      <c r="K171" s="2"/>
    </row>
    <row r="172" spans="2:11" ht="67.5" customHeight="1" x14ac:dyDescent="0.15">
      <c r="B172" s="68" t="s">
        <v>148</v>
      </c>
      <c r="C172" s="215" t="s">
        <v>149</v>
      </c>
      <c r="D172" s="215"/>
      <c r="E172" s="215"/>
      <c r="F172" s="215"/>
      <c r="G172" s="2"/>
      <c r="H172" s="2"/>
      <c r="I172" s="2"/>
      <c r="J172" s="2"/>
      <c r="K172" s="2"/>
    </row>
    <row r="173" spans="2:11" x14ac:dyDescent="0.3">
      <c r="H173" s="2"/>
      <c r="I173" s="2"/>
      <c r="J173" s="2"/>
      <c r="K173" s="2"/>
    </row>
    <row r="174" spans="2:11" x14ac:dyDescent="0.3">
      <c r="H174" s="2"/>
      <c r="I174" s="2"/>
      <c r="J174" s="2"/>
      <c r="K174" s="2"/>
    </row>
  </sheetData>
  <mergeCells count="157">
    <mergeCell ref="C155:E155"/>
    <mergeCell ref="C169:F169"/>
    <mergeCell ref="C170:F170"/>
    <mergeCell ref="C171:F171"/>
    <mergeCell ref="C172:F172"/>
    <mergeCell ref="C148:E148"/>
    <mergeCell ref="B149:E149"/>
    <mergeCell ref="C163:F163"/>
    <mergeCell ref="C164:F164"/>
    <mergeCell ref="C165:F165"/>
    <mergeCell ref="C166:F166"/>
    <mergeCell ref="C167:F167"/>
    <mergeCell ref="C168:F168"/>
    <mergeCell ref="C156:E156"/>
    <mergeCell ref="C157:E157"/>
    <mergeCell ref="B158:E158"/>
    <mergeCell ref="C160:F160"/>
    <mergeCell ref="C161:F161"/>
    <mergeCell ref="C162:F162"/>
    <mergeCell ref="B146:E146"/>
    <mergeCell ref="C147:E147"/>
    <mergeCell ref="B153:E153"/>
    <mergeCell ref="C154:E154"/>
    <mergeCell ref="C140:E140"/>
    <mergeCell ref="C141:E141"/>
    <mergeCell ref="C142:E142"/>
    <mergeCell ref="C143:E143"/>
    <mergeCell ref="C144:E144"/>
    <mergeCell ref="C145:E145"/>
    <mergeCell ref="C131:D131"/>
    <mergeCell ref="C126:D126"/>
    <mergeCell ref="C127:D127"/>
    <mergeCell ref="C128:D128"/>
    <mergeCell ref="C132:D132"/>
    <mergeCell ref="B133:D133"/>
    <mergeCell ref="C134:D134"/>
    <mergeCell ref="B135:D135"/>
    <mergeCell ref="B139:E139"/>
    <mergeCell ref="C118:E118"/>
    <mergeCell ref="C119:E119"/>
    <mergeCell ref="C121:E121"/>
    <mergeCell ref="C122:E122"/>
    <mergeCell ref="B123:E123"/>
    <mergeCell ref="B115:D115"/>
    <mergeCell ref="B125:F125"/>
    <mergeCell ref="C129:D129"/>
    <mergeCell ref="C130:D130"/>
    <mergeCell ref="C114:D114"/>
    <mergeCell ref="B90:E90"/>
    <mergeCell ref="C95:D95"/>
    <mergeCell ref="C97:D97"/>
    <mergeCell ref="C111:D111"/>
    <mergeCell ref="C106:D106"/>
    <mergeCell ref="B113:D113"/>
    <mergeCell ref="C109:D109"/>
    <mergeCell ref="C110:D110"/>
    <mergeCell ref="C112:D112"/>
    <mergeCell ref="C98:D98"/>
    <mergeCell ref="C99:D99"/>
    <mergeCell ref="C107:D107"/>
    <mergeCell ref="B102:D102"/>
    <mergeCell ref="C108:D108"/>
    <mergeCell ref="C101:D101"/>
    <mergeCell ref="C77:D77"/>
    <mergeCell ref="B81:D81"/>
    <mergeCell ref="C84:E84"/>
    <mergeCell ref="C96:D96"/>
    <mergeCell ref="B100:D100"/>
    <mergeCell ref="C93:D93"/>
    <mergeCell ref="C94:D94"/>
    <mergeCell ref="C78:D78"/>
    <mergeCell ref="C79:D79"/>
    <mergeCell ref="C80:D80"/>
    <mergeCell ref="C85:D85"/>
    <mergeCell ref="C87:D87"/>
    <mergeCell ref="C89:D89"/>
    <mergeCell ref="C88:D88"/>
    <mergeCell ref="C86:D86"/>
    <mergeCell ref="B67:D67"/>
    <mergeCell ref="C68:D68"/>
    <mergeCell ref="B69:D69"/>
    <mergeCell ref="B71:F71"/>
    <mergeCell ref="C72:D72"/>
    <mergeCell ref="C73:D73"/>
    <mergeCell ref="C74:D74"/>
    <mergeCell ref="C75:D75"/>
    <mergeCell ref="C76:D76"/>
    <mergeCell ref="C58:E58"/>
    <mergeCell ref="C59:E59"/>
    <mergeCell ref="C56:E56"/>
    <mergeCell ref="C52:E52"/>
    <mergeCell ref="B54:F54"/>
    <mergeCell ref="B60:E60"/>
    <mergeCell ref="C64:D64"/>
    <mergeCell ref="C65:D65"/>
    <mergeCell ref="C66:D66"/>
    <mergeCell ref="C57:E57"/>
    <mergeCell ref="C41:E41"/>
    <mergeCell ref="C45:E45"/>
    <mergeCell ref="C49:E49"/>
    <mergeCell ref="C50:E50"/>
    <mergeCell ref="C51:E51"/>
    <mergeCell ref="K7:K8"/>
    <mergeCell ref="D22:F22"/>
    <mergeCell ref="B47:E47"/>
    <mergeCell ref="C48:E48"/>
    <mergeCell ref="B31:D31"/>
    <mergeCell ref="B38:E38"/>
    <mergeCell ref="C27:E27"/>
    <mergeCell ref="C28:E28"/>
    <mergeCell ref="C29:E29"/>
    <mergeCell ref="C32:E32"/>
    <mergeCell ref="C34:E34"/>
    <mergeCell ref="C36:E36"/>
    <mergeCell ref="C33:E33"/>
    <mergeCell ref="C35:E35"/>
    <mergeCell ref="C40:E40"/>
    <mergeCell ref="B6:F6"/>
    <mergeCell ref="M15:N15"/>
    <mergeCell ref="C23:E23"/>
    <mergeCell ref="H20:N21"/>
    <mergeCell ref="H19:N19"/>
    <mergeCell ref="B7:C7"/>
    <mergeCell ref="D7:F7"/>
    <mergeCell ref="B8:C8"/>
    <mergeCell ref="D8:E8"/>
    <mergeCell ref="B10:F10"/>
    <mergeCell ref="D12:F12"/>
    <mergeCell ref="C13:E13"/>
    <mergeCell ref="C15:E15"/>
    <mergeCell ref="E19:F19"/>
    <mergeCell ref="D20:F20"/>
    <mergeCell ref="L7:L8"/>
    <mergeCell ref="B1:F1"/>
    <mergeCell ref="B2:D2"/>
    <mergeCell ref="E2:F2"/>
    <mergeCell ref="B44:E44"/>
    <mergeCell ref="H6:N6"/>
    <mergeCell ref="H22:N23"/>
    <mergeCell ref="H24:N25"/>
    <mergeCell ref="H26:N27"/>
    <mergeCell ref="C11:E11"/>
    <mergeCell ref="C14:E14"/>
    <mergeCell ref="C19:D19"/>
    <mergeCell ref="B25:F25"/>
    <mergeCell ref="B4:F4"/>
    <mergeCell ref="D21:F21"/>
    <mergeCell ref="C39:E39"/>
    <mergeCell ref="C42:E42"/>
    <mergeCell ref="I7:I8"/>
    <mergeCell ref="C26:E26"/>
    <mergeCell ref="H7:H9"/>
    <mergeCell ref="H16:M16"/>
    <mergeCell ref="H2:N4"/>
    <mergeCell ref="J7:J8"/>
    <mergeCell ref="N7:N9"/>
    <mergeCell ref="M7:M9"/>
  </mergeCells>
  <phoneticPr fontId="5" type="noConversion"/>
  <dataValidations count="4">
    <dataValidation type="decimal" allowBlank="1" showInputMessage="1" showErrorMessage="1" errorTitle="Erro na inserção de dados." error="O percentual máximo de lucro é de 7,20%, conforme estudos realizados pela Auditoria Interna do MPU." sqref="F49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2">
      <formula1>2</formula1>
      <formula2>5</formula2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0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1">
      <formula1>3</formula1>
    </dataValidation>
  </dataValidations>
  <printOptions horizontalCentered="1"/>
  <pageMargins left="0.26" right="0.19685039370078741" top="0.46" bottom="0.39" header="0.44" footer="0.3"/>
  <pageSetup paperSize="9" firstPageNumber="0" orientation="portrait" verticalDpi="300" r:id="rId1"/>
  <headerFooter scaleWithDoc="0" alignWithMargins="0"/>
  <ignoredErrors>
    <ignoredError sqref="F67 F113 F10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="90" zoomScaleNormal="90" workbookViewId="0">
      <selection activeCell="D22" sqref="D22"/>
    </sheetView>
  </sheetViews>
  <sheetFormatPr defaultRowHeight="15" x14ac:dyDescent="0.25"/>
  <cols>
    <col min="1" max="1" width="36.5703125" style="141" customWidth="1"/>
    <col min="2" max="2" width="11.85546875" style="141" bestFit="1" customWidth="1"/>
    <col min="3" max="3" width="35.85546875" style="141" bestFit="1" customWidth="1"/>
    <col min="4" max="4" width="42.7109375" style="141" customWidth="1"/>
    <col min="5" max="5" width="8.5703125" style="141" customWidth="1"/>
    <col min="6" max="6" width="22.42578125" style="141" customWidth="1"/>
    <col min="7" max="7" width="19" style="141" customWidth="1"/>
    <col min="8" max="8" width="15.140625" style="141" customWidth="1"/>
    <col min="9" max="16384" width="9.140625" style="141"/>
  </cols>
  <sheetData>
    <row r="1" spans="1:6" ht="16.5" customHeight="1" x14ac:dyDescent="0.25">
      <c r="A1" s="281" t="s">
        <v>195</v>
      </c>
      <c r="B1" s="281"/>
      <c r="C1" s="281"/>
      <c r="D1" s="281"/>
    </row>
    <row r="2" spans="1:6" ht="30" customHeight="1" x14ac:dyDescent="0.25">
      <c r="A2" s="282" t="s">
        <v>196</v>
      </c>
      <c r="B2" s="282"/>
      <c r="C2" s="283" t="s">
        <v>197</v>
      </c>
      <c r="D2" s="284"/>
    </row>
    <row r="3" spans="1:6" ht="30" x14ac:dyDescent="0.25">
      <c r="A3" s="285" t="s">
        <v>163</v>
      </c>
      <c r="B3" s="285"/>
      <c r="C3" s="142" t="s">
        <v>163</v>
      </c>
      <c r="D3" s="143" t="s">
        <v>198</v>
      </c>
    </row>
    <row r="4" spans="1:6" x14ac:dyDescent="0.25">
      <c r="A4" s="144" t="s">
        <v>199</v>
      </c>
      <c r="B4" s="145">
        <v>120</v>
      </c>
      <c r="C4" s="144" t="s">
        <v>199</v>
      </c>
      <c r="D4" s="145">
        <v>1500</v>
      </c>
    </row>
    <row r="5" spans="1:6" x14ac:dyDescent="0.25">
      <c r="A5" s="144" t="s">
        <v>200</v>
      </c>
      <c r="B5" s="145">
        <v>217</v>
      </c>
      <c r="C5" s="144" t="s">
        <v>200</v>
      </c>
      <c r="D5" s="145">
        <v>1000</v>
      </c>
    </row>
    <row r="6" spans="1:6" x14ac:dyDescent="0.25">
      <c r="A6" s="144" t="s">
        <v>201</v>
      </c>
      <c r="B6" s="145">
        <v>431</v>
      </c>
      <c r="C6" s="144" t="s">
        <v>201</v>
      </c>
      <c r="D6" s="146">
        <v>65</v>
      </c>
      <c r="E6" s="147" t="s">
        <v>202</v>
      </c>
    </row>
    <row r="7" spans="1:6" x14ac:dyDescent="0.25">
      <c r="A7" s="144" t="s">
        <v>203</v>
      </c>
      <c r="B7" s="145">
        <v>6832.4</v>
      </c>
      <c r="C7" s="144" t="s">
        <v>203</v>
      </c>
      <c r="D7" s="145">
        <v>800</v>
      </c>
      <c r="E7" s="147"/>
    </row>
    <row r="8" spans="1:6" ht="30" x14ac:dyDescent="0.25">
      <c r="A8" s="285" t="s">
        <v>164</v>
      </c>
      <c r="B8" s="285"/>
      <c r="C8" s="142" t="s">
        <v>164</v>
      </c>
      <c r="D8" s="143" t="s">
        <v>198</v>
      </c>
    </row>
    <row r="9" spans="1:6" x14ac:dyDescent="0.25">
      <c r="A9" s="144" t="s">
        <v>204</v>
      </c>
      <c r="B9" s="145">
        <v>1099.6500000000001</v>
      </c>
      <c r="C9" s="144" t="s">
        <v>204</v>
      </c>
      <c r="D9" s="145">
        <v>1900</v>
      </c>
    </row>
    <row r="10" spans="1:6" x14ac:dyDescent="0.25">
      <c r="A10" s="144" t="s">
        <v>205</v>
      </c>
      <c r="B10" s="145">
        <v>5508.42</v>
      </c>
      <c r="C10" s="144" t="s">
        <v>205</v>
      </c>
      <c r="D10" s="145">
        <v>6000</v>
      </c>
    </row>
    <row r="11" spans="1:6" x14ac:dyDescent="0.25">
      <c r="A11" s="144" t="s">
        <v>206</v>
      </c>
      <c r="B11" s="145">
        <v>350.11</v>
      </c>
      <c r="C11" s="144" t="s">
        <v>206</v>
      </c>
      <c r="D11" s="145">
        <v>1800</v>
      </c>
    </row>
    <row r="12" spans="1:6" ht="24.75" customHeight="1" x14ac:dyDescent="0.25">
      <c r="A12" s="285" t="s">
        <v>207</v>
      </c>
      <c r="B12" s="285"/>
      <c r="C12" s="142" t="s">
        <v>207</v>
      </c>
      <c r="D12" s="148" t="s">
        <v>208</v>
      </c>
      <c r="F12" s="149"/>
    </row>
    <row r="13" spans="1:6" x14ac:dyDescent="0.25">
      <c r="A13" s="144" t="s">
        <v>209</v>
      </c>
      <c r="B13" s="145">
        <v>228.98</v>
      </c>
      <c r="C13" s="144" t="s">
        <v>209</v>
      </c>
      <c r="D13" s="145">
        <v>300</v>
      </c>
      <c r="F13" s="149"/>
    </row>
    <row r="14" spans="1:6" x14ac:dyDescent="0.25">
      <c r="A14" s="144" t="s">
        <v>210</v>
      </c>
      <c r="B14" s="145">
        <v>1322.4</v>
      </c>
      <c r="C14" s="144" t="s">
        <v>210</v>
      </c>
      <c r="D14" s="145">
        <v>300</v>
      </c>
      <c r="F14" s="149"/>
    </row>
    <row r="15" spans="1:6" x14ac:dyDescent="0.25">
      <c r="B15" s="149"/>
      <c r="C15" s="149"/>
      <c r="F15" s="149"/>
    </row>
    <row r="17" spans="1:5" x14ac:dyDescent="0.25">
      <c r="D17" s="149"/>
    </row>
    <row r="18" spans="1:5" x14ac:dyDescent="0.25">
      <c r="A18" s="279" t="s">
        <v>211</v>
      </c>
      <c r="B18" s="280"/>
      <c r="C18" s="150"/>
      <c r="E18" s="149"/>
    </row>
    <row r="19" spans="1:5" x14ac:dyDescent="0.25">
      <c r="A19" s="144" t="s">
        <v>212</v>
      </c>
      <c r="B19" s="151">
        <f>SERVENTES!F149</f>
        <v>4476.12</v>
      </c>
      <c r="C19" s="152"/>
    </row>
    <row r="20" spans="1:5" x14ac:dyDescent="0.25">
      <c r="A20" s="144" t="s">
        <v>213</v>
      </c>
      <c r="B20" s="151">
        <f>ENCARREGADOS!F147</f>
        <v>6902.77</v>
      </c>
      <c r="C20" s="152"/>
    </row>
    <row r="21" spans="1:5" x14ac:dyDescent="0.25">
      <c r="B21" s="153"/>
      <c r="C21" s="153"/>
    </row>
    <row r="23" spans="1:5" x14ac:dyDescent="0.25">
      <c r="C23" s="154"/>
    </row>
    <row r="24" spans="1:5" x14ac:dyDescent="0.25">
      <c r="C24" s="154"/>
    </row>
    <row r="25" spans="1:5" x14ac:dyDescent="0.25">
      <c r="C25" s="154"/>
    </row>
    <row r="29" spans="1:5" x14ac:dyDescent="0.25">
      <c r="C29" s="154"/>
    </row>
    <row r="31" spans="1:5" x14ac:dyDescent="0.25">
      <c r="C31" s="154"/>
    </row>
  </sheetData>
  <mergeCells count="7">
    <mergeCell ref="A18:B18"/>
    <mergeCell ref="A1:D1"/>
    <mergeCell ref="A2:B2"/>
    <mergeCell ref="C2:D2"/>
    <mergeCell ref="A3:B3"/>
    <mergeCell ref="A8:B8"/>
    <mergeCell ref="A12:B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opLeftCell="A7" zoomScale="90" zoomScaleNormal="90" workbookViewId="0">
      <selection activeCell="E9" sqref="E9"/>
    </sheetView>
  </sheetViews>
  <sheetFormatPr defaultRowHeight="15" x14ac:dyDescent="0.25"/>
  <cols>
    <col min="1" max="1" width="15.28515625" style="172" bestFit="1" customWidth="1"/>
    <col min="2" max="2" width="35.85546875" style="172" bestFit="1" customWidth="1"/>
    <col min="3" max="3" width="11.7109375" style="172" bestFit="1" customWidth="1"/>
    <col min="4" max="4" width="16.5703125" style="174" bestFit="1" customWidth="1"/>
    <col min="5" max="5" width="14.85546875" style="172" bestFit="1" customWidth="1"/>
    <col min="6" max="6" width="15.140625" style="172" bestFit="1" customWidth="1"/>
    <col min="7" max="7" width="13.28515625" style="172" bestFit="1" customWidth="1"/>
    <col min="8" max="8" width="13.85546875" style="172" bestFit="1" customWidth="1"/>
    <col min="9" max="9" width="9.7109375" style="172" customWidth="1"/>
    <col min="10" max="10" width="16.42578125" style="172" bestFit="1" customWidth="1"/>
    <col min="11" max="11" width="22.140625" style="172" customWidth="1"/>
    <col min="12" max="12" width="8" style="172" bestFit="1" customWidth="1"/>
    <col min="13" max="13" width="11.42578125" style="172" bestFit="1" customWidth="1"/>
    <col min="14" max="16384" width="9.140625" style="172"/>
  </cols>
  <sheetData>
    <row r="1" spans="1:11" s="156" customFormat="1" ht="30" x14ac:dyDescent="0.2">
      <c r="A1" s="286" t="s">
        <v>214</v>
      </c>
      <c r="B1" s="286"/>
      <c r="C1" s="143" t="s">
        <v>215</v>
      </c>
      <c r="D1" s="155" t="s">
        <v>216</v>
      </c>
      <c r="E1" s="143" t="s">
        <v>217</v>
      </c>
      <c r="F1" s="143" t="s">
        <v>218</v>
      </c>
      <c r="H1" s="157"/>
      <c r="I1" s="157"/>
      <c r="J1" s="157"/>
    </row>
    <row r="2" spans="1:11" s="156" customFormat="1" ht="30" customHeight="1" x14ac:dyDescent="0.2">
      <c r="A2" s="289" t="s">
        <v>219</v>
      </c>
      <c r="B2" s="298" t="s">
        <v>199</v>
      </c>
      <c r="C2" s="143" t="s">
        <v>212</v>
      </c>
      <c r="D2" s="155">
        <f>1/'Entrada de Dados'!D4</f>
        <v>6.6666666667000002E-4</v>
      </c>
      <c r="E2" s="158">
        <f>'Entrada de Dados'!$B$19</f>
        <v>4476.12</v>
      </c>
      <c r="F2" s="159">
        <f>D2*E2</f>
        <v>2.98</v>
      </c>
      <c r="G2" s="157"/>
      <c r="H2" s="157"/>
      <c r="I2" s="157"/>
      <c r="J2" s="157"/>
    </row>
    <row r="3" spans="1:11" s="156" customFormat="1" x14ac:dyDescent="0.2">
      <c r="A3" s="290"/>
      <c r="B3" s="299"/>
      <c r="C3" s="143" t="s">
        <v>213</v>
      </c>
      <c r="D3" s="155">
        <f>1/(30*'Entrada de Dados'!D4)</f>
        <v>2.2222222219999998E-5</v>
      </c>
      <c r="E3" s="158">
        <f>'Entrada de Dados'!$B$20</f>
        <v>6902.77</v>
      </c>
      <c r="F3" s="159">
        <f t="shared" ref="F3:F11" si="0">D3*E3</f>
        <v>0.15</v>
      </c>
      <c r="G3" s="157"/>
      <c r="H3" s="157"/>
      <c r="I3" s="157"/>
      <c r="J3" s="157"/>
    </row>
    <row r="4" spans="1:11" s="156" customFormat="1" ht="15" customHeight="1" x14ac:dyDescent="0.2">
      <c r="A4" s="290"/>
      <c r="B4" s="300"/>
      <c r="C4" s="295" t="s">
        <v>220</v>
      </c>
      <c r="D4" s="296"/>
      <c r="E4" s="297"/>
      <c r="F4" s="160">
        <f>F2+F3</f>
        <v>3.13</v>
      </c>
      <c r="G4" s="157"/>
      <c r="H4" s="157"/>
      <c r="I4" s="157"/>
      <c r="J4" s="157"/>
    </row>
    <row r="5" spans="1:11" s="156" customFormat="1" x14ac:dyDescent="0.2">
      <c r="A5" s="290"/>
      <c r="B5" s="292" t="s">
        <v>200</v>
      </c>
      <c r="C5" s="143" t="s">
        <v>212</v>
      </c>
      <c r="D5" s="155">
        <f>1/'Entrada de Dados'!D5</f>
        <v>1E-3</v>
      </c>
      <c r="E5" s="158">
        <f>'Entrada de Dados'!$B$19</f>
        <v>4476.12</v>
      </c>
      <c r="F5" s="159">
        <f t="shared" si="0"/>
        <v>4.4800000000000004</v>
      </c>
      <c r="G5" s="157"/>
      <c r="H5" s="157"/>
      <c r="I5" s="157"/>
      <c r="J5" s="157"/>
    </row>
    <row r="6" spans="1:11" s="156" customFormat="1" x14ac:dyDescent="0.2">
      <c r="A6" s="290"/>
      <c r="B6" s="293"/>
      <c r="C6" s="143" t="s">
        <v>213</v>
      </c>
      <c r="D6" s="155">
        <f>1/(30*'Entrada de Dados'!D5)</f>
        <v>3.3333333330000003E-5</v>
      </c>
      <c r="E6" s="158">
        <f>'Entrada de Dados'!$B$20</f>
        <v>6902.77</v>
      </c>
      <c r="F6" s="159">
        <f t="shared" si="0"/>
        <v>0.23</v>
      </c>
    </row>
    <row r="7" spans="1:11" s="156" customFormat="1" ht="15" customHeight="1" x14ac:dyDescent="0.2">
      <c r="A7" s="290"/>
      <c r="B7" s="294"/>
      <c r="C7" s="295" t="s">
        <v>221</v>
      </c>
      <c r="D7" s="296"/>
      <c r="E7" s="297"/>
      <c r="F7" s="161">
        <f>F5+F6</f>
        <v>4.71</v>
      </c>
    </row>
    <row r="8" spans="1:11" s="156" customFormat="1" x14ac:dyDescent="0.2">
      <c r="A8" s="290"/>
      <c r="B8" s="292" t="s">
        <v>201</v>
      </c>
      <c r="C8" s="143" t="s">
        <v>212</v>
      </c>
      <c r="D8" s="155">
        <f>1/'Entrada de Dados'!D6</f>
        <v>1.538461538462E-2</v>
      </c>
      <c r="E8" s="158">
        <f>'Entrada de Dados'!$B$19</f>
        <v>4476.12</v>
      </c>
      <c r="F8" s="159">
        <f t="shared" si="0"/>
        <v>68.86</v>
      </c>
      <c r="G8" s="157"/>
      <c r="H8" s="157"/>
    </row>
    <row r="9" spans="1:11" s="156" customFormat="1" x14ac:dyDescent="0.2">
      <c r="A9" s="290"/>
      <c r="B9" s="293"/>
      <c r="C9" s="143" t="s">
        <v>213</v>
      </c>
      <c r="D9" s="155">
        <f>1/(30*'Entrada de Dados'!D6)</f>
        <v>5.1282051281999999E-4</v>
      </c>
      <c r="E9" s="158">
        <f>'Entrada de Dados'!$B$20</f>
        <v>6902.77</v>
      </c>
      <c r="F9" s="159">
        <f t="shared" si="0"/>
        <v>3.54</v>
      </c>
      <c r="G9" s="157"/>
      <c r="H9" s="157"/>
      <c r="I9" s="157"/>
      <c r="J9" s="157"/>
    </row>
    <row r="10" spans="1:11" s="156" customFormat="1" x14ac:dyDescent="0.2">
      <c r="A10" s="290"/>
      <c r="B10" s="294"/>
      <c r="C10" s="301" t="s">
        <v>222</v>
      </c>
      <c r="D10" s="302"/>
      <c r="E10" s="303"/>
      <c r="F10" s="160">
        <f>F8+F9</f>
        <v>72.400000000000006</v>
      </c>
      <c r="G10" s="157"/>
      <c r="H10" s="157"/>
      <c r="I10" s="157"/>
      <c r="J10" s="157"/>
    </row>
    <row r="11" spans="1:11" s="156" customFormat="1" x14ac:dyDescent="0.2">
      <c r="A11" s="290"/>
      <c r="B11" s="298" t="s">
        <v>203</v>
      </c>
      <c r="C11" s="143" t="s">
        <v>212</v>
      </c>
      <c r="D11" s="155">
        <f>1/'Entrada de Dados'!D7</f>
        <v>1.25E-3</v>
      </c>
      <c r="E11" s="158">
        <f>'Entrada de Dados'!$B$19</f>
        <v>4476.12</v>
      </c>
      <c r="F11" s="159">
        <f t="shared" si="0"/>
        <v>5.6</v>
      </c>
      <c r="J11" s="157"/>
      <c r="K11" s="162"/>
    </row>
    <row r="12" spans="1:11" s="156" customFormat="1" x14ac:dyDescent="0.2">
      <c r="A12" s="290"/>
      <c r="B12" s="299"/>
      <c r="C12" s="143" t="s">
        <v>213</v>
      </c>
      <c r="D12" s="155">
        <f>1/(30*'Entrada de Dados'!D7)</f>
        <v>4.1666666669999997E-5</v>
      </c>
      <c r="E12" s="158">
        <f>'Entrada de Dados'!$B$20</f>
        <v>6902.77</v>
      </c>
      <c r="F12" s="159">
        <f>D12*E12</f>
        <v>0.28999999999999998</v>
      </c>
      <c r="G12" s="163" t="s">
        <v>223</v>
      </c>
      <c r="H12" s="163" t="s">
        <v>224</v>
      </c>
      <c r="J12" s="157"/>
      <c r="K12" s="162"/>
    </row>
    <row r="13" spans="1:11" s="156" customFormat="1" x14ac:dyDescent="0.2">
      <c r="A13" s="291"/>
      <c r="B13" s="300"/>
      <c r="C13" s="295" t="s">
        <v>225</v>
      </c>
      <c r="D13" s="296"/>
      <c r="E13" s="297"/>
      <c r="F13" s="164">
        <f>F11+F12</f>
        <v>5.89</v>
      </c>
      <c r="G13" s="165">
        <v>5.12</v>
      </c>
      <c r="H13" s="165">
        <v>6.18</v>
      </c>
      <c r="I13" s="166"/>
      <c r="J13" s="157"/>
      <c r="K13" s="162"/>
    </row>
    <row r="14" spans="1:11" x14ac:dyDescent="0.25">
      <c r="A14" s="167"/>
      <c r="B14" s="168"/>
      <c r="C14" s="169"/>
      <c r="D14" s="170"/>
      <c r="E14" s="169"/>
      <c r="F14" s="171"/>
      <c r="G14" s="141"/>
      <c r="H14" s="141"/>
      <c r="I14" s="141"/>
      <c r="J14" s="141"/>
    </row>
    <row r="15" spans="1:11" s="156" customFormat="1" ht="30" x14ac:dyDescent="0.2">
      <c r="A15" s="286" t="s">
        <v>214</v>
      </c>
      <c r="B15" s="286"/>
      <c r="C15" s="143" t="s">
        <v>215</v>
      </c>
      <c r="D15" s="155" t="s">
        <v>216</v>
      </c>
      <c r="E15" s="143" t="s">
        <v>217</v>
      </c>
      <c r="F15" s="143" t="s">
        <v>218</v>
      </c>
      <c r="H15" s="157"/>
      <c r="I15" s="157"/>
      <c r="J15" s="157"/>
    </row>
    <row r="16" spans="1:11" s="156" customFormat="1" ht="30" customHeight="1" x14ac:dyDescent="0.2">
      <c r="A16" s="289" t="s">
        <v>226</v>
      </c>
      <c r="B16" s="292" t="s">
        <v>204</v>
      </c>
      <c r="C16" s="143" t="s">
        <v>212</v>
      </c>
      <c r="D16" s="155">
        <f>1/'Entrada de Dados'!D9</f>
        <v>5.2631578946999997E-4</v>
      </c>
      <c r="E16" s="158">
        <f>'Entrada de Dados'!$B$19</f>
        <v>4476.12</v>
      </c>
      <c r="F16" s="159">
        <f>D16*E16</f>
        <v>2.36</v>
      </c>
      <c r="G16" s="157"/>
      <c r="J16" s="157"/>
    </row>
    <row r="17" spans="1:10" s="156" customFormat="1" x14ac:dyDescent="0.2">
      <c r="A17" s="290"/>
      <c r="B17" s="293"/>
      <c r="C17" s="143" t="s">
        <v>213</v>
      </c>
      <c r="D17" s="155">
        <f>1/(30*'Entrada de Dados'!D9)</f>
        <v>1.754385965E-5</v>
      </c>
      <c r="E17" s="158">
        <f>'Entrada de Dados'!$B$20</f>
        <v>6902.77</v>
      </c>
      <c r="F17" s="159">
        <f t="shared" ref="F17:F23" si="1">D17*E17</f>
        <v>0.12</v>
      </c>
      <c r="G17" s="157"/>
      <c r="H17" s="157"/>
      <c r="J17" s="157"/>
    </row>
    <row r="18" spans="1:10" s="156" customFormat="1" x14ac:dyDescent="0.2">
      <c r="A18" s="290"/>
      <c r="B18" s="294"/>
      <c r="C18" s="295" t="s">
        <v>227</v>
      </c>
      <c r="D18" s="296"/>
      <c r="E18" s="297"/>
      <c r="F18" s="160">
        <f>F16+F17</f>
        <v>2.48</v>
      </c>
      <c r="G18" s="157"/>
      <c r="H18" s="157"/>
      <c r="I18" s="166"/>
      <c r="J18" s="157"/>
    </row>
    <row r="19" spans="1:10" s="156" customFormat="1" x14ac:dyDescent="0.2">
      <c r="A19" s="290"/>
      <c r="B19" s="292" t="s">
        <v>228</v>
      </c>
      <c r="C19" s="143" t="s">
        <v>212</v>
      </c>
      <c r="D19" s="155">
        <f>1/'Entrada de Dados'!D11</f>
        <v>5.5555555556000003E-4</v>
      </c>
      <c r="E19" s="158">
        <f>'Entrada de Dados'!$B$19</f>
        <v>4476.12</v>
      </c>
      <c r="F19" s="159">
        <f>D19*E19</f>
        <v>2.4900000000000002</v>
      </c>
      <c r="G19" s="166"/>
      <c r="H19" s="166"/>
      <c r="I19" s="166"/>
      <c r="J19" s="157"/>
    </row>
    <row r="20" spans="1:10" s="156" customFormat="1" x14ac:dyDescent="0.2">
      <c r="A20" s="290"/>
      <c r="B20" s="293"/>
      <c r="C20" s="143" t="s">
        <v>213</v>
      </c>
      <c r="D20" s="155">
        <f>1/(30*'Entrada de Dados'!D11)</f>
        <v>1.8518518519999999E-5</v>
      </c>
      <c r="E20" s="158">
        <f>'Entrada de Dados'!$B$20</f>
        <v>6902.77</v>
      </c>
      <c r="F20" s="159">
        <f t="shared" ref="F20" si="2">D20*E20</f>
        <v>0.13</v>
      </c>
      <c r="G20" s="163" t="s">
        <v>223</v>
      </c>
      <c r="H20" s="163" t="s">
        <v>224</v>
      </c>
    </row>
    <row r="21" spans="1:10" s="156" customFormat="1" x14ac:dyDescent="0.2">
      <c r="A21" s="290"/>
      <c r="B21" s="294"/>
      <c r="C21" s="295" t="s">
        <v>229</v>
      </c>
      <c r="D21" s="296"/>
      <c r="E21" s="297"/>
      <c r="F21" s="160">
        <f>F19+F20</f>
        <v>2.62</v>
      </c>
      <c r="G21" s="165">
        <v>2.27</v>
      </c>
      <c r="H21" s="165">
        <v>2.75</v>
      </c>
    </row>
    <row r="22" spans="1:10" s="156" customFormat="1" x14ac:dyDescent="0.2">
      <c r="A22" s="290"/>
      <c r="B22" s="292" t="s">
        <v>205</v>
      </c>
      <c r="C22" s="143" t="s">
        <v>212</v>
      </c>
      <c r="D22" s="155">
        <f>1/'Entrada de Dados'!D10</f>
        <v>1.6666666666999999E-4</v>
      </c>
      <c r="E22" s="158">
        <f>'Entrada de Dados'!$B$19</f>
        <v>4476.12</v>
      </c>
      <c r="F22" s="159">
        <f t="shared" si="1"/>
        <v>0.75</v>
      </c>
      <c r="G22" s="157"/>
      <c r="H22" s="157"/>
    </row>
    <row r="23" spans="1:10" s="156" customFormat="1" x14ac:dyDescent="0.2">
      <c r="A23" s="290"/>
      <c r="B23" s="293"/>
      <c r="C23" s="143" t="s">
        <v>213</v>
      </c>
      <c r="D23" s="155">
        <f>1/(30*'Entrada de Dados'!D10)</f>
        <v>5.5555555600000004E-6</v>
      </c>
      <c r="E23" s="158">
        <f>'Entrada de Dados'!$B$20</f>
        <v>6902.77</v>
      </c>
      <c r="F23" s="159">
        <f t="shared" si="1"/>
        <v>0.04</v>
      </c>
    </row>
    <row r="24" spans="1:10" s="156" customFormat="1" x14ac:dyDescent="0.2">
      <c r="A24" s="291"/>
      <c r="B24" s="294"/>
      <c r="C24" s="295" t="s">
        <v>230</v>
      </c>
      <c r="D24" s="296"/>
      <c r="E24" s="297"/>
      <c r="F24" s="160">
        <f>F22+F23</f>
        <v>0.79</v>
      </c>
    </row>
    <row r="25" spans="1:10" x14ac:dyDescent="0.25">
      <c r="C25" s="141"/>
      <c r="D25" s="173"/>
      <c r="E25" s="141"/>
      <c r="F25" s="141"/>
      <c r="G25" s="141"/>
      <c r="H25" s="141"/>
      <c r="I25" s="141"/>
      <c r="J25" s="141"/>
    </row>
    <row r="26" spans="1:10" s="156" customFormat="1" ht="60" x14ac:dyDescent="0.2">
      <c r="A26" s="286" t="s">
        <v>214</v>
      </c>
      <c r="B26" s="286"/>
      <c r="C26" s="143" t="s">
        <v>215</v>
      </c>
      <c r="D26" s="155" t="s">
        <v>216</v>
      </c>
      <c r="E26" s="143" t="s">
        <v>231</v>
      </c>
      <c r="F26" s="143" t="s">
        <v>232</v>
      </c>
      <c r="G26" s="143" t="s">
        <v>233</v>
      </c>
      <c r="H26" s="143" t="s">
        <v>234</v>
      </c>
      <c r="I26" s="143" t="s">
        <v>235</v>
      </c>
    </row>
    <row r="27" spans="1:10" s="156" customFormat="1" ht="45" customHeight="1" x14ac:dyDescent="0.2">
      <c r="A27" s="287" t="s">
        <v>236</v>
      </c>
      <c r="B27" s="288" t="s">
        <v>237</v>
      </c>
      <c r="C27" s="143" t="s">
        <v>212</v>
      </c>
      <c r="D27" s="155">
        <f>1/'Entrada de Dados'!D13</f>
        <v>3.3333333333299998E-3</v>
      </c>
      <c r="E27" s="143">
        <v>16</v>
      </c>
      <c r="F27" s="143">
        <f>1/188.76</f>
        <v>5.2977325704598403E-3</v>
      </c>
      <c r="G27" s="143">
        <f>D27*E27*F27</f>
        <v>2.8254573709090902E-4</v>
      </c>
      <c r="H27" s="158">
        <f>'Entrada de Dados'!$B$19</f>
        <v>4476.12</v>
      </c>
      <c r="I27" s="158">
        <f>G27*H27</f>
        <v>1.26</v>
      </c>
    </row>
    <row r="28" spans="1:10" s="156" customFormat="1" ht="45" customHeight="1" x14ac:dyDescent="0.2">
      <c r="A28" s="287"/>
      <c r="B28" s="288"/>
      <c r="C28" s="143" t="s">
        <v>213</v>
      </c>
      <c r="D28" s="155">
        <f>1/(30*'Entrada de Dados'!D13)</f>
        <v>1.1111111111E-4</v>
      </c>
      <c r="E28" s="143">
        <v>16</v>
      </c>
      <c r="F28" s="143">
        <f>1/188.76</f>
        <v>5.2977325704598403E-3</v>
      </c>
      <c r="G28" s="143">
        <f>D28*E28*F28</f>
        <v>9.4181912362788694E-6</v>
      </c>
      <c r="H28" s="158">
        <f>'Entrada de Dados'!$B$20</f>
        <v>6902.77</v>
      </c>
      <c r="I28" s="158">
        <f>G28*H28</f>
        <v>7.0000000000000007E-2</v>
      </c>
    </row>
    <row r="29" spans="1:10" ht="45" x14ac:dyDescent="0.25">
      <c r="H29" s="143" t="s">
        <v>238</v>
      </c>
      <c r="I29" s="160">
        <f>I27+I28</f>
        <v>1.33</v>
      </c>
    </row>
    <row r="30" spans="1:10" x14ac:dyDescent="0.25">
      <c r="H30" s="156"/>
      <c r="I30" s="156"/>
      <c r="J30" s="156"/>
    </row>
    <row r="31" spans="1:10" ht="30" x14ac:dyDescent="0.25">
      <c r="H31" s="163" t="s">
        <v>223</v>
      </c>
      <c r="I31" s="163" t="s">
        <v>224</v>
      </c>
      <c r="J31" s="156"/>
    </row>
    <row r="32" spans="1:10" x14ac:dyDescent="0.25">
      <c r="H32" s="165">
        <v>1.1599999999999999</v>
      </c>
      <c r="I32" s="165">
        <v>1.4</v>
      </c>
    </row>
  </sheetData>
  <mergeCells count="21">
    <mergeCell ref="A1:B1"/>
    <mergeCell ref="A2:A13"/>
    <mergeCell ref="B2:B4"/>
    <mergeCell ref="C4:E4"/>
    <mergeCell ref="B5:B7"/>
    <mergeCell ref="C7:E7"/>
    <mergeCell ref="B8:B10"/>
    <mergeCell ref="C10:E10"/>
    <mergeCell ref="B11:B13"/>
    <mergeCell ref="C13:E13"/>
    <mergeCell ref="C18:E18"/>
    <mergeCell ref="B19:B21"/>
    <mergeCell ref="C21:E21"/>
    <mergeCell ref="B22:B24"/>
    <mergeCell ref="C24:E24"/>
    <mergeCell ref="A26:B26"/>
    <mergeCell ref="A27:A28"/>
    <mergeCell ref="B27:B28"/>
    <mergeCell ref="A15:B15"/>
    <mergeCell ref="A16:A24"/>
    <mergeCell ref="B16:B18"/>
  </mergeCells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showGridLines="0" topLeftCell="E1" zoomScale="160" zoomScaleNormal="160" workbookViewId="0">
      <selection activeCell="F12" sqref="F12"/>
    </sheetView>
  </sheetViews>
  <sheetFormatPr defaultRowHeight="15" x14ac:dyDescent="0.25"/>
  <cols>
    <col min="1" max="1" width="7.42578125" style="172" customWidth="1"/>
    <col min="2" max="2" width="35.85546875" style="172" bestFit="1" customWidth="1"/>
    <col min="3" max="3" width="11.5703125" style="172" customWidth="1"/>
    <col min="4" max="4" width="13.140625" style="172" customWidth="1"/>
    <col min="5" max="5" width="15.85546875" style="172" bestFit="1" customWidth="1"/>
    <col min="6" max="6" width="9.140625" style="172"/>
    <col min="7" max="7" width="9.140625" style="172" customWidth="1"/>
    <col min="8" max="8" width="38.7109375" style="172" customWidth="1"/>
    <col min="9" max="9" width="11.5703125" style="172" customWidth="1"/>
    <col min="10" max="10" width="13.7109375" style="172" customWidth="1"/>
    <col min="11" max="11" width="14.7109375" style="172" customWidth="1"/>
    <col min="12" max="16384" width="9.140625" style="172"/>
  </cols>
  <sheetData>
    <row r="1" spans="1:11" ht="42.75" x14ac:dyDescent="0.25">
      <c r="A1" s="306" t="s">
        <v>239</v>
      </c>
      <c r="B1" s="306"/>
      <c r="C1" s="176" t="s">
        <v>253</v>
      </c>
      <c r="D1" s="176" t="s">
        <v>252</v>
      </c>
      <c r="E1" s="175" t="s">
        <v>240</v>
      </c>
      <c r="H1" s="175" t="s">
        <v>239</v>
      </c>
      <c r="I1" s="176" t="s">
        <v>253</v>
      </c>
      <c r="J1" s="176" t="s">
        <v>252</v>
      </c>
      <c r="K1" s="176" t="s">
        <v>241</v>
      </c>
    </row>
    <row r="2" spans="1:11" x14ac:dyDescent="0.25">
      <c r="A2" s="287" t="s">
        <v>219</v>
      </c>
      <c r="B2" s="177" t="s">
        <v>199</v>
      </c>
      <c r="C2" s="178">
        <f>'Entrada de Dados'!B4</f>
        <v>120</v>
      </c>
      <c r="D2" s="178">
        <f>'Entrada de Dados'!D4</f>
        <v>1500</v>
      </c>
      <c r="E2" s="179">
        <f>C2/D2</f>
        <v>0.08</v>
      </c>
      <c r="G2" s="287" t="s">
        <v>219</v>
      </c>
      <c r="H2" s="177" t="s">
        <v>199</v>
      </c>
      <c r="I2" s="178">
        <v>120</v>
      </c>
      <c r="J2" s="178">
        <v>1500</v>
      </c>
      <c r="K2" s="179">
        <f>(I2/J2)/30</f>
        <v>2.66666666666667E-3</v>
      </c>
    </row>
    <row r="3" spans="1:11" x14ac:dyDescent="0.25">
      <c r="A3" s="287"/>
      <c r="B3" s="177" t="s">
        <v>200</v>
      </c>
      <c r="C3" s="178">
        <f>'Entrada de Dados'!B5</f>
        <v>217</v>
      </c>
      <c r="D3" s="178">
        <f>'Entrada de Dados'!D5</f>
        <v>1000</v>
      </c>
      <c r="E3" s="179">
        <f t="shared" ref="E3:E8" si="0">C3/D3</f>
        <v>0.217</v>
      </c>
      <c r="G3" s="287"/>
      <c r="H3" s="177" t="s">
        <v>200</v>
      </c>
      <c r="I3" s="178">
        <v>217</v>
      </c>
      <c r="J3" s="178">
        <v>1000</v>
      </c>
      <c r="K3" s="179">
        <f>(I3/J3)/30</f>
        <v>7.2333333333333303E-3</v>
      </c>
    </row>
    <row r="4" spans="1:11" x14ac:dyDescent="0.25">
      <c r="A4" s="287"/>
      <c r="B4" s="177" t="s">
        <v>201</v>
      </c>
      <c r="C4" s="178">
        <f>'Entrada de Dados'!B6</f>
        <v>431</v>
      </c>
      <c r="D4" s="178">
        <f>'Entrada de Dados'!D6</f>
        <v>65</v>
      </c>
      <c r="E4" s="179">
        <f t="shared" si="0"/>
        <v>6.6307692307692303</v>
      </c>
      <c r="G4" s="287"/>
      <c r="H4" s="177" t="s">
        <v>201</v>
      </c>
      <c r="I4" s="178">
        <v>431</v>
      </c>
      <c r="J4" s="178">
        <v>75</v>
      </c>
      <c r="K4" s="179">
        <f t="shared" ref="K4:K8" si="1">(I4/J4)/30</f>
        <v>0.19155555555555601</v>
      </c>
    </row>
    <row r="5" spans="1:11" x14ac:dyDescent="0.25">
      <c r="A5" s="287"/>
      <c r="B5" s="177" t="s">
        <v>203</v>
      </c>
      <c r="C5" s="178">
        <f>'Entrada de Dados'!B7</f>
        <v>6832.4</v>
      </c>
      <c r="D5" s="178">
        <f>'Entrada de Dados'!D7</f>
        <v>800</v>
      </c>
      <c r="E5" s="179">
        <f t="shared" si="0"/>
        <v>8.5404999999999998</v>
      </c>
      <c r="G5" s="287"/>
      <c r="H5" s="177" t="s">
        <v>203</v>
      </c>
      <c r="I5" s="178">
        <v>6832.4</v>
      </c>
      <c r="J5" s="178">
        <f>D5</f>
        <v>800</v>
      </c>
      <c r="K5" s="179">
        <f t="shared" si="1"/>
        <v>0.28468333333333301</v>
      </c>
    </row>
    <row r="6" spans="1:11" ht="19.5" customHeight="1" x14ac:dyDescent="0.25">
      <c r="A6" s="287" t="s">
        <v>226</v>
      </c>
      <c r="B6" s="177" t="s">
        <v>204</v>
      </c>
      <c r="C6" s="178">
        <f>'Entrada de Dados'!B9</f>
        <v>1099.6500000000001</v>
      </c>
      <c r="D6" s="178">
        <f>'Entrada de Dados'!D9</f>
        <v>1900</v>
      </c>
      <c r="E6" s="179">
        <f t="shared" si="0"/>
        <v>0.57876315789473698</v>
      </c>
      <c r="G6" s="287" t="s">
        <v>226</v>
      </c>
      <c r="H6" s="177" t="s">
        <v>204</v>
      </c>
      <c r="I6" s="178">
        <v>1099.6500000000001</v>
      </c>
      <c r="J6" s="178">
        <v>1900</v>
      </c>
      <c r="K6" s="179">
        <f t="shared" si="1"/>
        <v>1.9292105263157899E-2</v>
      </c>
    </row>
    <row r="7" spans="1:11" ht="19.5" customHeight="1" x14ac:dyDescent="0.25">
      <c r="A7" s="287"/>
      <c r="B7" s="177" t="s">
        <v>205</v>
      </c>
      <c r="C7" s="178">
        <f>'Entrada de Dados'!B10</f>
        <v>5508.42</v>
      </c>
      <c r="D7" s="178">
        <f>'Entrada de Dados'!D10</f>
        <v>6000</v>
      </c>
      <c r="E7" s="179">
        <f t="shared" si="0"/>
        <v>0.91807000000000005</v>
      </c>
      <c r="G7" s="287"/>
      <c r="H7" s="177" t="s">
        <v>205</v>
      </c>
      <c r="I7" s="178">
        <v>5508.42</v>
      </c>
      <c r="J7" s="178">
        <v>6000</v>
      </c>
      <c r="K7" s="179">
        <f t="shared" si="1"/>
        <v>3.0602333333333301E-2</v>
      </c>
    </row>
    <row r="8" spans="1:11" ht="19.5" customHeight="1" x14ac:dyDescent="0.25">
      <c r="A8" s="287"/>
      <c r="B8" s="177" t="s">
        <v>206</v>
      </c>
      <c r="C8" s="178">
        <f>'Entrada de Dados'!B11</f>
        <v>350.11</v>
      </c>
      <c r="D8" s="178">
        <f>'Entrada de Dados'!D11</f>
        <v>1800</v>
      </c>
      <c r="E8" s="179">
        <f t="shared" si="0"/>
        <v>0.19450555555555599</v>
      </c>
      <c r="G8" s="287"/>
      <c r="H8" s="177" t="s">
        <v>206</v>
      </c>
      <c r="I8" s="178">
        <v>350.11</v>
      </c>
      <c r="J8" s="178">
        <v>1800</v>
      </c>
      <c r="K8" s="179">
        <f t="shared" si="1"/>
        <v>6.4835185185185204E-3</v>
      </c>
    </row>
    <row r="9" spans="1:11" ht="39" customHeight="1" x14ac:dyDescent="0.25">
      <c r="A9" s="287" t="s">
        <v>236</v>
      </c>
      <c r="B9" s="177" t="s">
        <v>209</v>
      </c>
      <c r="C9" s="178">
        <f>'Entrada de Dados'!B13</f>
        <v>228.98</v>
      </c>
      <c r="D9" s="178">
        <f>'Entrada de Dados'!D13</f>
        <v>300</v>
      </c>
      <c r="E9" s="179">
        <f>((($C$9/$D$9))/188.76)*16</f>
        <v>6.4697322879141095E-2</v>
      </c>
      <c r="G9" s="287" t="s">
        <v>236</v>
      </c>
      <c r="H9" s="177" t="s">
        <v>209</v>
      </c>
      <c r="I9" s="178">
        <v>228.98</v>
      </c>
      <c r="J9" s="178">
        <v>300</v>
      </c>
      <c r="K9" s="179">
        <f>(((I9/J9)/30)/188.76)*16</f>
        <v>2.1565774293047001E-3</v>
      </c>
    </row>
    <row r="10" spans="1:11" ht="39" customHeight="1" x14ac:dyDescent="0.25">
      <c r="A10" s="287"/>
      <c r="B10" s="177" t="s">
        <v>210</v>
      </c>
      <c r="C10" s="178">
        <f>'Entrada de Dados'!B14</f>
        <v>1322.4</v>
      </c>
      <c r="D10" s="178">
        <f>'Entrada de Dados'!D14</f>
        <v>300</v>
      </c>
      <c r="E10" s="179">
        <f>((($C$9/$D$9))/188.76)*16</f>
        <v>6.4697322879141095E-2</v>
      </c>
      <c r="G10" s="287"/>
      <c r="H10" s="177" t="s">
        <v>210</v>
      </c>
      <c r="I10" s="178">
        <v>1322.4</v>
      </c>
      <c r="J10" s="178">
        <v>300</v>
      </c>
      <c r="K10" s="179">
        <f>(((I10/J10)/30)/188.76)*16</f>
        <v>1.2454616090979699E-2</v>
      </c>
    </row>
    <row r="11" spans="1:11" x14ac:dyDescent="0.25">
      <c r="A11" s="304" t="s">
        <v>242</v>
      </c>
      <c r="B11" s="304"/>
      <c r="C11" s="304"/>
      <c r="D11" s="304"/>
      <c r="E11" s="179">
        <f>SUM(E2:E10)</f>
        <v>17.289002589977802</v>
      </c>
      <c r="H11" s="305" t="s">
        <v>243</v>
      </c>
      <c r="I11" s="305"/>
      <c r="J11" s="305"/>
      <c r="K11" s="179">
        <f>SUM(K2:K10)</f>
        <v>0.55712803952418299</v>
      </c>
    </row>
    <row r="13" spans="1:11" x14ac:dyDescent="0.25">
      <c r="C13" s="180" t="s">
        <v>244</v>
      </c>
    </row>
  </sheetData>
  <mergeCells count="9">
    <mergeCell ref="A11:D11"/>
    <mergeCell ref="H11:J11"/>
    <mergeCell ref="A1:B1"/>
    <mergeCell ref="A2:A5"/>
    <mergeCell ref="G2:G5"/>
    <mergeCell ref="A6:A8"/>
    <mergeCell ref="G6:G8"/>
    <mergeCell ref="A9:A10"/>
    <mergeCell ref="G9:G10"/>
  </mergeCells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zoomScale="90" zoomScaleNormal="90" workbookViewId="0">
      <selection activeCell="E13" sqref="E13"/>
    </sheetView>
  </sheetViews>
  <sheetFormatPr defaultRowHeight="15" x14ac:dyDescent="0.25"/>
  <cols>
    <col min="1" max="1" width="6" style="172" customWidth="1"/>
    <col min="2" max="2" width="35.85546875" style="172" bestFit="1" customWidth="1"/>
    <col min="3" max="3" width="18.85546875" style="172" bestFit="1" customWidth="1"/>
    <col min="4" max="4" width="7.42578125" style="172" bestFit="1" customWidth="1"/>
    <col min="5" max="5" width="16" style="172" bestFit="1" customWidth="1"/>
    <col min="6" max="16384" width="9.140625" style="172"/>
  </cols>
  <sheetData>
    <row r="1" spans="1:5" ht="18.75" x14ac:dyDescent="0.25">
      <c r="B1" s="308" t="s">
        <v>245</v>
      </c>
      <c r="C1" s="308"/>
      <c r="D1" s="308"/>
      <c r="E1" s="308"/>
    </row>
    <row r="2" spans="1:5" ht="45" x14ac:dyDescent="0.25">
      <c r="A2" s="181"/>
      <c r="B2" s="148" t="s">
        <v>246</v>
      </c>
      <c r="C2" s="143" t="s">
        <v>247</v>
      </c>
      <c r="D2" s="143" t="s">
        <v>248</v>
      </c>
      <c r="E2" s="143" t="s">
        <v>249</v>
      </c>
    </row>
    <row r="3" spans="1:5" x14ac:dyDescent="0.25">
      <c r="A3" s="309" t="s">
        <v>219</v>
      </c>
      <c r="B3" s="177" t="s">
        <v>199</v>
      </c>
      <c r="C3" s="182">
        <f>'Cálculo Produtividade IN05'!F4</f>
        <v>3.13</v>
      </c>
      <c r="D3" s="183">
        <f>'Entrada de Dados'!B4</f>
        <v>120</v>
      </c>
      <c r="E3" s="184">
        <f>C3*D3</f>
        <v>375.6</v>
      </c>
    </row>
    <row r="4" spans="1:5" x14ac:dyDescent="0.25">
      <c r="A4" s="309"/>
      <c r="B4" s="177" t="s">
        <v>200</v>
      </c>
      <c r="C4" s="182">
        <f>'Cálculo Produtividade IN05'!F7</f>
        <v>4.71</v>
      </c>
      <c r="D4" s="183">
        <f>'Entrada de Dados'!B5</f>
        <v>217</v>
      </c>
      <c r="E4" s="184">
        <f t="shared" ref="E4:E11" si="0">C4*D4</f>
        <v>1022.07</v>
      </c>
    </row>
    <row r="5" spans="1:5" x14ac:dyDescent="0.25">
      <c r="A5" s="309"/>
      <c r="B5" s="177" t="s">
        <v>201</v>
      </c>
      <c r="C5" s="182">
        <f>'Cálculo Produtividade IN05'!F10</f>
        <v>72.400000000000006</v>
      </c>
      <c r="D5" s="183">
        <f>'Entrada de Dados'!B6</f>
        <v>431</v>
      </c>
      <c r="E5" s="184">
        <f t="shared" si="0"/>
        <v>31204.400000000001</v>
      </c>
    </row>
    <row r="6" spans="1:5" x14ac:dyDescent="0.25">
      <c r="A6" s="309"/>
      <c r="B6" s="177" t="s">
        <v>203</v>
      </c>
      <c r="C6" s="182">
        <f>IF('Cálculo Produtividade IN05'!F13&lt;'Cálculo Produtividade IN05'!G13,'Cálculo Produtividade IN05'!G13,IF('Cálculo Produtividade IN05'!F13&lt;'Cálculo Produtividade IN05'!H13, 'Cálculo Produtividade IN05'!F13,'Cálculo Produtividade IN05'!H13))</f>
        <v>5.89</v>
      </c>
      <c r="D6" s="183">
        <f>'Entrada de Dados'!B7</f>
        <v>6832.4</v>
      </c>
      <c r="E6" s="184">
        <f t="shared" si="0"/>
        <v>40242.839999999997</v>
      </c>
    </row>
    <row r="7" spans="1:5" x14ac:dyDescent="0.25">
      <c r="A7" s="309" t="s">
        <v>226</v>
      </c>
      <c r="B7" s="177" t="s">
        <v>204</v>
      </c>
      <c r="C7" s="182">
        <f>IF('Cálculo Produtividade IN05'!F18&lt;'Cálculo Produtividade IN05'!G18,'Cálculo Produtividade IN05'!G18,'Cálculo Produtividade IN05'!F18)</f>
        <v>2.48</v>
      </c>
      <c r="D7" s="183">
        <f>'Entrada de Dados'!B9</f>
        <v>1099.6500000000001</v>
      </c>
      <c r="E7" s="184">
        <f t="shared" si="0"/>
        <v>2727.13</v>
      </c>
    </row>
    <row r="8" spans="1:5" x14ac:dyDescent="0.25">
      <c r="A8" s="309"/>
      <c r="B8" s="177" t="s">
        <v>205</v>
      </c>
      <c r="C8" s="182">
        <f>'Cálculo Produtividade IN05'!F24</f>
        <v>0.79</v>
      </c>
      <c r="D8" s="183">
        <f>'Entrada de Dados'!B10</f>
        <v>5508.42</v>
      </c>
      <c r="E8" s="184">
        <f t="shared" si="0"/>
        <v>4351.6499999999996</v>
      </c>
    </row>
    <row r="9" spans="1:5" x14ac:dyDescent="0.25">
      <c r="A9" s="309"/>
      <c r="B9" s="177" t="s">
        <v>206</v>
      </c>
      <c r="C9" s="182">
        <f>IF('Cálculo Produtividade IN05'!F21&lt;'Cálculo Produtividade IN05'!G21,'Cálculo Produtividade IN05'!G21,'Cálculo Produtividade IN05'!F21)</f>
        <v>2.62</v>
      </c>
      <c r="D9" s="183">
        <f>'Entrada de Dados'!B11</f>
        <v>350.11</v>
      </c>
      <c r="E9" s="184">
        <f t="shared" si="0"/>
        <v>917.29</v>
      </c>
    </row>
    <row r="10" spans="1:5" x14ac:dyDescent="0.25">
      <c r="A10" s="309" t="s">
        <v>236</v>
      </c>
      <c r="B10" s="177" t="s">
        <v>209</v>
      </c>
      <c r="C10" s="182">
        <f>IF('Cálculo Produtividade IN05'!I29&lt;'Cálculo Produtividade IN05'!H32,'Cálculo Produtividade IN05'!H32,'Cálculo Produtividade IN05'!I29)</f>
        <v>1.33</v>
      </c>
      <c r="D10" s="183">
        <f>'Entrada de Dados'!B13</f>
        <v>228.98</v>
      </c>
      <c r="E10" s="184">
        <f t="shared" si="0"/>
        <v>304.54000000000002</v>
      </c>
    </row>
    <row r="11" spans="1:5" x14ac:dyDescent="0.25">
      <c r="A11" s="309"/>
      <c r="B11" s="177" t="s">
        <v>210</v>
      </c>
      <c r="C11" s="182">
        <f>IF('Cálculo Produtividade IN05'!I29&lt;'Cálculo Produtividade IN05'!H32,'Cálculo Produtividade IN05'!H32,'Cálculo Produtividade IN05'!I29)</f>
        <v>1.33</v>
      </c>
      <c r="D11" s="183">
        <f>'Entrada de Dados'!B14</f>
        <v>1322.4</v>
      </c>
      <c r="E11" s="184">
        <f t="shared" si="0"/>
        <v>1758.79</v>
      </c>
    </row>
    <row r="13" spans="1:5" ht="20.25" x14ac:dyDescent="0.25">
      <c r="A13" s="310" t="s">
        <v>250</v>
      </c>
      <c r="B13" s="310"/>
      <c r="C13" s="310"/>
      <c r="D13" s="310"/>
      <c r="E13" s="185">
        <f>SUM(E3:E11)</f>
        <v>82904.31</v>
      </c>
    </row>
    <row r="14" spans="1:5" ht="20.25" x14ac:dyDescent="0.25">
      <c r="A14" s="307" t="s">
        <v>254</v>
      </c>
      <c r="B14" s="307"/>
      <c r="C14" s="307"/>
      <c r="D14" s="307"/>
      <c r="E14" s="185">
        <f>E13*12</f>
        <v>994851.72</v>
      </c>
    </row>
  </sheetData>
  <mergeCells count="6">
    <mergeCell ref="A14:D14"/>
    <mergeCell ref="B1:E1"/>
    <mergeCell ref="A3:A6"/>
    <mergeCell ref="A7:A9"/>
    <mergeCell ref="A10:A11"/>
    <mergeCell ref="A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H19" sqref="H19"/>
    </sheetView>
  </sheetViews>
  <sheetFormatPr defaultRowHeight="12.75" x14ac:dyDescent="0.2"/>
  <cols>
    <col min="1" max="1" width="12.85546875" style="140" customWidth="1"/>
    <col min="2" max="2" width="9.140625" style="140"/>
    <col min="3" max="3" width="16.85546875" style="140" hidden="1" customWidth="1"/>
    <col min="4" max="4" width="11.5703125" style="140" hidden="1" customWidth="1"/>
    <col min="5" max="5" width="15.42578125" style="140" customWidth="1"/>
    <col min="6" max="6" width="17" style="140" customWidth="1"/>
    <col min="7" max="16384" width="9.140625" style="140"/>
  </cols>
  <sheetData>
    <row r="2" spans="1:6" x14ac:dyDescent="0.2">
      <c r="B2" s="140" t="s">
        <v>189</v>
      </c>
    </row>
    <row r="4" spans="1:6" x14ac:dyDescent="0.2">
      <c r="A4" s="311" t="s">
        <v>190</v>
      </c>
      <c r="B4" s="311"/>
      <c r="C4" s="186" t="s">
        <v>192</v>
      </c>
      <c r="D4" s="186" t="s">
        <v>191</v>
      </c>
      <c r="E4" s="186" t="s">
        <v>193</v>
      </c>
      <c r="F4" s="186" t="s">
        <v>194</v>
      </c>
    </row>
    <row r="5" spans="1:6" x14ac:dyDescent="0.2">
      <c r="A5" s="312" t="s">
        <v>251</v>
      </c>
      <c r="B5" s="312"/>
      <c r="C5" s="187">
        <f>SERVENTES!F149</f>
        <v>4476.12</v>
      </c>
      <c r="D5" s="186">
        <v>18</v>
      </c>
      <c r="E5" s="188">
        <f>'Limite máximo para Contratação'!E13</f>
        <v>82904.31</v>
      </c>
      <c r="F5" s="188">
        <f>E5*12</f>
        <v>994851.72</v>
      </c>
    </row>
  </sheetData>
  <mergeCells count="2"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ENCARREGADOS</vt:lpstr>
      <vt:lpstr>SERVENTES</vt:lpstr>
      <vt:lpstr>Entrada de Dados</vt:lpstr>
      <vt:lpstr>Cálculo Produtividade IN05</vt:lpstr>
      <vt:lpstr>Cálculo qntd de postos</vt:lpstr>
      <vt:lpstr>Limite máximo para Contratação</vt:lpstr>
      <vt:lpstr>RESUMO</vt:lpstr>
      <vt:lpstr>ENCARREGADOS!Area_de_impressao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2019-02-15T16:45:32Z</dcterms:modified>
  <cp:category/>
  <cp:contentStatus/>
</cp:coreProperties>
</file>