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W:\COAD\NCC\NÚCLEO DE COMPRAS\SECOMP\PESQUISAS\2020\PESQ.110 - (PROC 41482020-91) - LICITAÇÃO - MOTORISTAS\PLANILHAS NOVAS\"/>
    </mc:Choice>
  </mc:AlternateContent>
  <xr:revisionPtr revIDLastSave="0" documentId="8_{B61CD94A-CFF1-43AC-8AF1-D9EF0CAF3F60}" xr6:coauthVersionLast="45" xr6:coauthVersionMax="45" xr10:uidLastSave="{00000000-0000-0000-0000-000000000000}"/>
  <bookViews>
    <workbookView xWindow="28680" yWindow="-120" windowWidth="21840" windowHeight="1314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  <sheet name="Planilha1" sheetId="16" r:id="rId5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<sst xmlns="http://schemas.openxmlformats.org/spreadsheetml/2006/main" count="424" uniqueCount="192">
  <si>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</si>
  <si>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</si>
  <si>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</si>
  <si>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</si>
  <si>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</si>
  <si>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</si>
  <si>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</si>
  <si>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</si>
  <si>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</si>
  <si>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</si>
  <si>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</si>
  <si>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</si>
  <si>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</si>
  <si>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</si>
  <si>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</si>
  <si>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</si>
  <si>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</si>
  <si>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</si>
  <si>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</si>
  <si>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</si>
  <si>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</si>
  <si>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</si>
  <si>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</si>
  <si>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</si>
  <si>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</si>
  <si>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</si>
  <si>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</si>
  <si>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</si>
  <si>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</si>
  <si>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</si>
  <si>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</si>
  <si>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</si>
  <si>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</si>
  <si>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</si>
  <si>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</si>
  <si>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</si>
  <si>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</si>
  <si>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</si>
  <si>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</si>
  <si>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</si>
  <si>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</si>
  <si>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</si>
  <si>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</si>
  <si>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</si>
  <si>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</si>
  <si>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</si>
  <si>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</si>
  <si>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</si>
  <si>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</si>
  <si>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</si>
  <si>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</si>
  <si>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</si>
  <si>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</si>
  <si>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</si>
  <si>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</si>
  <si>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</si>
  <si>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</si>
  <si>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</si>
  <si>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</si>
  <si>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</si>
  <si>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</si>
  <si>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</si>
  <si>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</si>
  <si>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</si>
  <si>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</si>
  <si>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</si>
  <si>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</si>
  <si>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</si>
  <si>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</si>
  <si>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</si>
  <si>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</si>
  <si>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</si>
  <si>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</si>
  <si>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</si>
  <si>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</si>
  <si>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</si>
  <si>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</si>
  <si>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</si>
  <si>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</si>
  <si>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</si>
  <si>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</si>
  <si>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</si>
  <si>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</si>
  <si>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</si>
  <si>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</si>
  <si>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</si>
  <si>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</si>
  <si>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</si>
  <si>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</si>
  <si>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</si>
  <si>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</si>
  <si>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</si>
  <si>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</si>
  <si>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</si>
  <si>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</si>
  <si>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</si>
  <si>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</si>
  <si>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</si>
  <si>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</si>
  <si>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</si>
  <si>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</si>
  <si>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</si>
  <si>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</si>
  <si>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</si>
  <si>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</si>
  <si>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</si>
  <si>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</si>
  <si>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</si>
  <si>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</si>
  <si>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</si>
  <si>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</si>
  <si>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</si>
  <si>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</si>
  <si>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</si>
  <si>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</si>
  <si>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</si>
  <si>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</si>
  <si>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</si>
  <si>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</si>
  <si>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</si>
  <si>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</si>
  <si>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</si>
  <si>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</si>
  <si>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</si>
  <si>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</si>
  <si>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</si>
  <si>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</si>
  <si>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</si>
  <si>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</si>
  <si>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</si>
  <si>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</si>
  <si>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</si>
  <si>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</si>
  <si>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</si>
  <si>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</si>
  <si>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</si>
  <si>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</si>
  <si>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</si>
  <si>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</si>
  <si>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</si>
  <si>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</si>
  <si>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</si>
  <si>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2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</si>
  <si>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</si>
  <si>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</si>
  <si>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</si>
  <si>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</si>
  <si>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</si>
  <si>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</si>
  <si>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</si>
  <si>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</si>
  <si>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</si>
  <si>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</si>
  <si>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</si>
  <si>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</si>
  <si>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</si>
  <si>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</si>
  <si>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</si>
  <si>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</si>
  <si>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</si>
  <si>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</si>
  <si>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</si>
  <si>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</si>
  <si>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</si>
  <si>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</si>
  <si>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</si>
  <si>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</si>
  <si>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</si>
  <si>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</si>
  <si>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</si>
  <si>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</si>
  <si>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</si>
  <si>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</si>
  <si>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</si>
  <si>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</si>
  <si>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</si>
  <si>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</si>
  <si>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</si>
  <si>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</si>
  <si>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</si>
  <si>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</si>
  <si>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</si>
  <si>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</si>
  <si>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COSET</t>
  </si>
  <si>
    <t>RAMO: CONSELHO NACIONAL DO MINISTÉRIO PÚBLICO</t>
  </si>
  <si>
    <t>UNIDADE GESTORA (SIGLA): CNMP</t>
  </si>
  <si>
    <t>19.00.6180.0004148/2020-91</t>
  </si>
  <si>
    <t>01/2020</t>
  </si>
  <si>
    <t>Outros Benefícios 1 (Auxilio funeral e seguro de vida)</t>
  </si>
  <si>
    <t>Outros (custo com celular)</t>
  </si>
  <si>
    <t>MOTORISTA VEÍCULO PESADO</t>
  </si>
  <si>
    <t>DISCRIMINAÇÃO DOS SERVIÇOS (MOTORISTA VEÍCULO PESADO)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</si>
</sst>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14" fontId="20" fillId="30" borderId="13" xfId="0" applyNumberFormat="1" applyFont="1" applyFill="1" applyBorder="1" applyAlignment="1" applyProtection="1">
      <protection locked="0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43" workbookViewId="0">
      <selection activeCell="H36" sqref="H36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19" t="s">
        <v>184</v>
      </c>
      <c r="C1" s="120"/>
      <c r="D1" s="120"/>
      <c r="E1" s="120"/>
      <c r="F1" s="121"/>
    </row>
    <row r="2" spans="1:6" ht="20.25" x14ac:dyDescent="0.35">
      <c r="B2" s="119" t="s">
        <v>185</v>
      </c>
      <c r="C2" s="120"/>
      <c r="D2" s="121"/>
      <c r="E2" s="106" t="s">
        <v>51</v>
      </c>
      <c r="F2" s="194">
        <v>44161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22" t="s">
        <v>155</v>
      </c>
      <c r="C4" s="122"/>
      <c r="D4" s="122"/>
      <c r="E4" s="122"/>
      <c r="F4" s="122"/>
    </row>
    <row r="5" spans="1:6" s="80" customFormat="1" ht="15.95" customHeight="1" x14ac:dyDescent="0.3">
      <c r="B5" s="111" t="s">
        <v>89</v>
      </c>
      <c r="C5" s="111"/>
      <c r="D5" s="111"/>
      <c r="E5" s="111"/>
      <c r="F5" s="111"/>
    </row>
    <row r="6" spans="1:6" s="80" customFormat="1" ht="15.95" customHeight="1" x14ac:dyDescent="0.3">
      <c r="B6" s="114" t="s">
        <v>30</v>
      </c>
      <c r="C6" s="114"/>
      <c r="D6" s="123" t="s">
        <v>186</v>
      </c>
      <c r="E6" s="123"/>
      <c r="F6" s="123"/>
    </row>
    <row r="7" spans="1:6" s="80" customFormat="1" ht="15.75" customHeight="1" x14ac:dyDescent="0.3">
      <c r="B7" s="112" t="s">
        <v>31</v>
      </c>
      <c r="C7" s="112"/>
      <c r="D7" s="113" t="s">
        <v>32</v>
      </c>
      <c r="E7" s="113"/>
      <c r="F7" s="18" t="s">
        <v>145</v>
      </c>
    </row>
    <row r="8" spans="1:6" s="80" customFormat="1" ht="15.75" customHeight="1" x14ac:dyDescent="0.3">
      <c r="B8" s="114" t="s">
        <v>104</v>
      </c>
      <c r="C8" s="114"/>
      <c r="D8" s="109" t="s">
        <v>144</v>
      </c>
      <c r="E8" s="110"/>
      <c r="F8" s="18" t="s">
        <v>146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1" t="s">
        <v>103</v>
      </c>
      <c r="C10" s="111"/>
      <c r="D10" s="111"/>
      <c r="E10" s="111"/>
      <c r="F10" s="111"/>
    </row>
    <row r="11" spans="1:6" s="80" customFormat="1" ht="18" customHeight="1" x14ac:dyDescent="0.3">
      <c r="B11" s="19" t="s">
        <v>2</v>
      </c>
      <c r="C11" s="114" t="s">
        <v>56</v>
      </c>
      <c r="D11" s="114"/>
      <c r="E11" s="114"/>
      <c r="F11" s="20" t="s">
        <v>144</v>
      </c>
    </row>
    <row r="12" spans="1:6" s="80" customFormat="1" ht="15.95" customHeight="1" x14ac:dyDescent="0.15">
      <c r="B12" s="1" t="s">
        <v>3</v>
      </c>
      <c r="C12" s="58" t="s">
        <v>33</v>
      </c>
      <c r="D12" s="115"/>
      <c r="E12" s="115"/>
      <c r="F12" s="115"/>
    </row>
    <row r="13" spans="1:6" s="80" customFormat="1" ht="15.95" customHeight="1" x14ac:dyDescent="0.3">
      <c r="B13" s="19" t="s">
        <v>4</v>
      </c>
      <c r="C13" s="114" t="s">
        <v>137</v>
      </c>
      <c r="D13" s="114"/>
      <c r="E13" s="114"/>
      <c r="F13" s="60"/>
    </row>
    <row r="14" spans="1:6" s="80" customFormat="1" ht="18.75" customHeight="1" x14ac:dyDescent="0.3">
      <c r="B14" s="1" t="s">
        <v>5</v>
      </c>
      <c r="C14" s="116" t="s">
        <v>34</v>
      </c>
      <c r="D14" s="117"/>
      <c r="E14" s="118"/>
      <c r="F14" s="18" t="s">
        <v>187</v>
      </c>
    </row>
    <row r="15" spans="1:6" s="80" customFormat="1" ht="15.95" customHeight="1" x14ac:dyDescent="0.3">
      <c r="B15" s="1" t="s">
        <v>6</v>
      </c>
      <c r="C15" s="114" t="s">
        <v>57</v>
      </c>
      <c r="D15" s="114"/>
      <c r="E15" s="114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1" t="s">
        <v>105</v>
      </c>
      <c r="C17" s="111"/>
      <c r="D17" s="111"/>
      <c r="E17" s="111"/>
      <c r="F17" s="111"/>
    </row>
    <row r="18" spans="1:6" s="97" customFormat="1" ht="49.5" x14ac:dyDescent="0.2">
      <c r="B18" s="73" t="s">
        <v>138</v>
      </c>
      <c r="C18" s="73" t="s">
        <v>27</v>
      </c>
      <c r="D18" s="57" t="s">
        <v>106</v>
      </c>
      <c r="E18" s="57" t="s">
        <v>156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190</v>
      </c>
      <c r="D19" s="75" t="s">
        <v>106</v>
      </c>
      <c r="E19" s="102">
        <v>1</v>
      </c>
      <c r="F19" s="75">
        <v>2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1" t="s">
        <v>108</v>
      </c>
      <c r="C21" s="111"/>
      <c r="D21" s="111"/>
      <c r="E21" s="111"/>
      <c r="F21" s="111"/>
    </row>
    <row r="22" spans="1:6" s="80" customFormat="1" ht="15" customHeight="1" x14ac:dyDescent="0.3">
      <c r="A22" s="81"/>
      <c r="B22" s="19">
        <v>1</v>
      </c>
      <c r="C22" s="103" t="s">
        <v>52</v>
      </c>
      <c r="D22" s="128"/>
      <c r="E22" s="128"/>
      <c r="F22" s="128"/>
    </row>
    <row r="23" spans="1:6" s="80" customFormat="1" ht="15.95" customHeight="1" x14ac:dyDescent="0.3">
      <c r="B23" s="19">
        <v>2</v>
      </c>
      <c r="C23" s="21" t="s">
        <v>54</v>
      </c>
      <c r="D23" s="128"/>
      <c r="E23" s="128"/>
      <c r="F23" s="128"/>
    </row>
    <row r="24" spans="1:6" s="80" customFormat="1" ht="15.95" customHeight="1" x14ac:dyDescent="0.3">
      <c r="B24" s="19">
        <v>3</v>
      </c>
      <c r="C24" s="124" t="s">
        <v>55</v>
      </c>
      <c r="D24" s="124"/>
      <c r="E24" s="124"/>
      <c r="F24" s="20">
        <v>43831</v>
      </c>
    </row>
    <row r="25" spans="1:6" s="80" customFormat="1" ht="15.95" customHeight="1" x14ac:dyDescent="0.3">
      <c r="B25" s="19">
        <v>4</v>
      </c>
      <c r="C25" s="127" t="s">
        <v>131</v>
      </c>
      <c r="D25" s="127"/>
      <c r="E25" s="127"/>
      <c r="F25" s="59">
        <v>1045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149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57" t="s">
        <v>9</v>
      </c>
      <c r="D29" s="157"/>
      <c r="E29" s="157"/>
      <c r="F29" s="3" t="s">
        <v>113</v>
      </c>
    </row>
    <row r="30" spans="1:6" x14ac:dyDescent="0.3">
      <c r="B30" s="1" t="s">
        <v>2</v>
      </c>
      <c r="C30" s="150" t="s">
        <v>83</v>
      </c>
      <c r="D30" s="150"/>
      <c r="E30" s="150"/>
      <c r="F30" s="67">
        <v>2590</v>
      </c>
    </row>
    <row r="31" spans="1:6" x14ac:dyDescent="0.3">
      <c r="B31" s="1" t="s">
        <v>3</v>
      </c>
      <c r="C31" s="134" t="s">
        <v>74</v>
      </c>
      <c r="D31" s="135"/>
      <c r="E31" s="136"/>
      <c r="F31" s="68"/>
    </row>
    <row r="32" spans="1:6" x14ac:dyDescent="0.3">
      <c r="B32" s="1" t="s">
        <v>4</v>
      </c>
      <c r="C32" s="150" t="s">
        <v>76</v>
      </c>
      <c r="D32" s="150"/>
      <c r="E32" s="150"/>
      <c r="F32" s="68"/>
    </row>
    <row r="33" spans="1:6" x14ac:dyDescent="0.3">
      <c r="B33" s="1" t="s">
        <v>5</v>
      </c>
      <c r="C33" s="154" t="s">
        <v>150</v>
      </c>
      <c r="D33" s="155"/>
      <c r="E33" s="156"/>
      <c r="F33" s="68"/>
    </row>
    <row r="34" spans="1:6" x14ac:dyDescent="0.3">
      <c r="B34" s="1" t="s">
        <v>6</v>
      </c>
      <c r="C34" s="129" t="s">
        <v>139</v>
      </c>
      <c r="D34" s="129"/>
      <c r="E34" s="129"/>
      <c r="F34" s="67"/>
    </row>
    <row r="35" spans="1:6" x14ac:dyDescent="0.3">
      <c r="B35" s="1" t="s">
        <v>7</v>
      </c>
      <c r="C35" s="129" t="s">
        <v>140</v>
      </c>
      <c r="D35" s="129"/>
      <c r="E35" s="129"/>
      <c r="F35" s="67"/>
    </row>
    <row r="36" spans="1:6" x14ac:dyDescent="0.3">
      <c r="B36" s="1" t="s">
        <v>10</v>
      </c>
      <c r="C36" s="129" t="s">
        <v>141</v>
      </c>
      <c r="D36" s="129"/>
      <c r="E36" s="129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25" t="s">
        <v>14</v>
      </c>
      <c r="D40" s="126"/>
      <c r="E40" s="3" t="s">
        <v>35</v>
      </c>
      <c r="F40" s="3" t="s">
        <v>114</v>
      </c>
    </row>
    <row r="41" spans="1:6" s="90" customFormat="1" x14ac:dyDescent="0.3">
      <c r="A41" s="7"/>
      <c r="B41" s="74" t="s">
        <v>2</v>
      </c>
      <c r="C41" s="124" t="s">
        <v>15</v>
      </c>
      <c r="D41" s="124"/>
      <c r="E41" s="56" t="s">
        <v>36</v>
      </c>
      <c r="F41" s="27">
        <v>11</v>
      </c>
    </row>
    <row r="42" spans="1:6" s="90" customFormat="1" x14ac:dyDescent="0.3">
      <c r="B42" s="74" t="s">
        <v>3</v>
      </c>
      <c r="C42" s="127" t="s">
        <v>62</v>
      </c>
      <c r="D42" s="127"/>
      <c r="E42" s="24" t="s">
        <v>36</v>
      </c>
      <c r="F42" s="27">
        <v>36.700000000000003</v>
      </c>
    </row>
    <row r="43" spans="1:6" s="90" customFormat="1" x14ac:dyDescent="0.3">
      <c r="B43" s="74" t="s">
        <v>4</v>
      </c>
      <c r="C43" s="124" t="s">
        <v>152</v>
      </c>
      <c r="D43" s="124"/>
      <c r="E43" s="56" t="s">
        <v>134</v>
      </c>
      <c r="F43" s="71">
        <v>22</v>
      </c>
    </row>
    <row r="44" spans="1:6" x14ac:dyDescent="0.3">
      <c r="B44" s="74" t="s">
        <v>5</v>
      </c>
      <c r="C44" s="138" t="s">
        <v>188</v>
      </c>
      <c r="D44" s="139"/>
      <c r="E44" s="72"/>
      <c r="F44" s="67">
        <v>2</v>
      </c>
    </row>
    <row r="45" spans="1:6" x14ac:dyDescent="0.3">
      <c r="B45" s="74" t="s">
        <v>6</v>
      </c>
      <c r="C45" s="138" t="s">
        <v>142</v>
      </c>
      <c r="D45" s="139"/>
      <c r="E45" s="72"/>
      <c r="F45" s="67"/>
    </row>
    <row r="46" spans="1:6" x14ac:dyDescent="0.3">
      <c r="B46" s="74" t="s">
        <v>7</v>
      </c>
      <c r="C46" s="138" t="s">
        <v>143</v>
      </c>
      <c r="D46" s="139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20</v>
      </c>
      <c r="C50" s="151" t="s">
        <v>95</v>
      </c>
      <c r="D50" s="152"/>
      <c r="E50" s="153"/>
      <c r="F50" s="3" t="s">
        <v>1</v>
      </c>
    </row>
    <row r="51" spans="1:6" s="90" customFormat="1" x14ac:dyDescent="0.3">
      <c r="B51" s="2" t="s">
        <v>2</v>
      </c>
      <c r="C51" s="146" t="s">
        <v>147</v>
      </c>
      <c r="D51" s="147"/>
      <c r="E51" s="148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176</v>
      </c>
      <c r="C53" s="6"/>
      <c r="D53" s="16"/>
      <c r="E53" s="14"/>
      <c r="F53" s="14"/>
    </row>
    <row r="54" spans="1:6" x14ac:dyDescent="0.3">
      <c r="B54" s="1" t="s">
        <v>21</v>
      </c>
      <c r="C54" s="149" t="s">
        <v>175</v>
      </c>
      <c r="D54" s="149"/>
      <c r="E54" s="149"/>
      <c r="F54" s="3" t="s">
        <v>171</v>
      </c>
    </row>
    <row r="55" spans="1:6" ht="15" customHeight="1" x14ac:dyDescent="0.3">
      <c r="B55" s="1" t="s">
        <v>2</v>
      </c>
      <c r="C55" s="150" t="s">
        <v>118</v>
      </c>
      <c r="D55" s="150"/>
      <c r="E55" s="150"/>
      <c r="F55" s="68"/>
    </row>
    <row r="56" spans="1:6" s="90" customFormat="1" x14ac:dyDescent="0.3">
      <c r="B56" s="1" t="s">
        <v>3</v>
      </c>
      <c r="C56" s="134" t="s">
        <v>127</v>
      </c>
      <c r="D56" s="135"/>
      <c r="E56" s="136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43" t="s">
        <v>0</v>
      </c>
      <c r="D59" s="143"/>
      <c r="E59" s="143"/>
      <c r="F59" s="44" t="s">
        <v>13</v>
      </c>
    </row>
    <row r="60" spans="1:6" x14ac:dyDescent="0.3">
      <c r="B60" s="39" t="s">
        <v>2</v>
      </c>
      <c r="C60" s="144" t="s">
        <v>16</v>
      </c>
      <c r="D60" s="144"/>
      <c r="E60" s="144"/>
      <c r="F60" s="70">
        <v>163.25</v>
      </c>
    </row>
    <row r="61" spans="1:6" s="91" customFormat="1" x14ac:dyDescent="0.3">
      <c r="A61" s="7"/>
      <c r="B61" s="39" t="s">
        <v>3</v>
      </c>
      <c r="C61" s="145" t="s">
        <v>18</v>
      </c>
      <c r="D61" s="145"/>
      <c r="E61" s="145"/>
      <c r="F61" s="70">
        <v>4.13</v>
      </c>
    </row>
    <row r="62" spans="1:6" s="91" customFormat="1" x14ac:dyDescent="0.3">
      <c r="A62" s="7"/>
      <c r="B62" s="39" t="s">
        <v>4</v>
      </c>
      <c r="C62" s="144" t="s">
        <v>17</v>
      </c>
      <c r="D62" s="144"/>
      <c r="E62" s="144"/>
      <c r="F62" s="70">
        <v>1.42</v>
      </c>
    </row>
    <row r="63" spans="1:6" s="90" customFormat="1" x14ac:dyDescent="0.3">
      <c r="B63" s="39" t="s">
        <v>5</v>
      </c>
      <c r="C63" s="129" t="s">
        <v>189</v>
      </c>
      <c r="D63" s="129"/>
      <c r="E63" s="129"/>
      <c r="F63" s="67">
        <v>44.99</v>
      </c>
    </row>
    <row r="64" spans="1:6" s="92" customFormat="1" ht="16.5" customHeight="1" x14ac:dyDescent="0.3">
      <c r="A64" s="7"/>
      <c r="B64" s="90"/>
      <c r="C64" s="90"/>
      <c r="D64" s="90"/>
      <c r="E64" s="90"/>
      <c r="F64" s="90"/>
    </row>
    <row r="65" spans="1:6" s="93" customFormat="1" ht="16.5" customHeight="1" x14ac:dyDescent="0.3">
      <c r="A65" s="7"/>
      <c r="B65" s="137" t="s">
        <v>68</v>
      </c>
      <c r="C65" s="137"/>
      <c r="D65" s="137"/>
      <c r="E65" s="137"/>
      <c r="F65" s="137"/>
    </row>
    <row r="66" spans="1:6" s="93" customFormat="1" x14ac:dyDescent="0.3">
      <c r="A66" s="91"/>
      <c r="B66" s="1">
        <v>6</v>
      </c>
      <c r="C66" s="140" t="s">
        <v>22</v>
      </c>
      <c r="D66" s="141"/>
      <c r="E66" s="142"/>
      <c r="F66" s="3" t="s">
        <v>1</v>
      </c>
    </row>
    <row r="67" spans="1:6" s="93" customFormat="1" x14ac:dyDescent="0.3">
      <c r="A67" s="91"/>
      <c r="B67" s="1" t="s">
        <v>2</v>
      </c>
      <c r="C67" s="131" t="s">
        <v>70</v>
      </c>
      <c r="D67" s="132"/>
      <c r="E67" s="133"/>
      <c r="F67" s="108">
        <v>4.7300000000000004</v>
      </c>
    </row>
    <row r="68" spans="1:6" s="93" customFormat="1" x14ac:dyDescent="0.3">
      <c r="A68" s="92"/>
      <c r="B68" s="2" t="s">
        <v>3</v>
      </c>
      <c r="C68" s="134" t="s">
        <v>29</v>
      </c>
      <c r="D68" s="135"/>
      <c r="E68" s="136"/>
      <c r="F68" s="108">
        <v>5.57</v>
      </c>
    </row>
    <row r="69" spans="1:6" x14ac:dyDescent="0.3">
      <c r="B69" s="25" t="s">
        <v>71</v>
      </c>
      <c r="C69" s="131" t="s">
        <v>24</v>
      </c>
      <c r="D69" s="132"/>
      <c r="E69" s="133">
        <f>PERC_PIS</f>
        <v>0.65</v>
      </c>
      <c r="F69" s="108">
        <v>0.65</v>
      </c>
    </row>
    <row r="70" spans="1:6" x14ac:dyDescent="0.3">
      <c r="B70" s="25" t="s">
        <v>72</v>
      </c>
      <c r="C70" s="134" t="s">
        <v>25</v>
      </c>
      <c r="D70" s="135"/>
      <c r="E70" s="136">
        <f>PERC_COFINS</f>
        <v>3</v>
      </c>
      <c r="F70" s="108">
        <v>3</v>
      </c>
    </row>
    <row r="71" spans="1:6" s="90" customFormat="1" x14ac:dyDescent="0.3">
      <c r="B71" s="25" t="s">
        <v>73</v>
      </c>
      <c r="C71" s="131" t="s">
        <v>26</v>
      </c>
      <c r="D71" s="132"/>
      <c r="E71" s="133">
        <f>PERC_ISS</f>
        <v>5</v>
      </c>
      <c r="F71" s="108">
        <v>5</v>
      </c>
    </row>
    <row r="72" spans="1:6" x14ac:dyDescent="0.3">
      <c r="B72" s="90"/>
      <c r="C72" s="90"/>
      <c r="D72" s="90"/>
      <c r="E72" s="90"/>
      <c r="F72" s="90"/>
    </row>
    <row r="73" spans="1:6" ht="33.75" customHeight="1" x14ac:dyDescent="0.3">
      <c r="B73" s="28" t="s">
        <v>148</v>
      </c>
      <c r="C73" s="29"/>
      <c r="D73" s="29"/>
      <c r="E73" s="29"/>
      <c r="F73" s="30"/>
    </row>
    <row r="74" spans="1:6" ht="32.25" customHeight="1" x14ac:dyDescent="0.3">
      <c r="B74" s="130" t="s">
        <v>172</v>
      </c>
      <c r="C74" s="130"/>
      <c r="D74" s="130"/>
      <c r="E74" s="130"/>
      <c r="F74" s="130"/>
    </row>
  </sheetData>
  <sheetProtection sheet="1" objects="1" scenarios="1"/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74:F74"/>
    <mergeCell ref="C69:E69"/>
    <mergeCell ref="C71:E71"/>
    <mergeCell ref="C68:E68"/>
    <mergeCell ref="C70:E70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19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157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57" t="s">
        <v>9</v>
      </c>
      <c r="D3" s="157"/>
      <c r="E3" s="157"/>
      <c r="F3" s="3" t="s">
        <v>177</v>
      </c>
    </row>
    <row r="4" spans="1:6" x14ac:dyDescent="0.3">
      <c r="B4" s="1" t="s">
        <v>6</v>
      </c>
      <c r="C4" s="131" t="s">
        <v>116</v>
      </c>
      <c r="D4" s="132"/>
      <c r="E4" s="133"/>
      <c r="F4" s="63">
        <v>220</v>
      </c>
    </row>
    <row r="5" spans="1:6" x14ac:dyDescent="0.3">
      <c r="B5" s="1" t="s">
        <v>7</v>
      </c>
      <c r="C5" s="161" t="s">
        <v>110</v>
      </c>
      <c r="D5" s="161"/>
      <c r="E5" s="161"/>
      <c r="F5" s="61">
        <v>7</v>
      </c>
    </row>
    <row r="6" spans="1:6" x14ac:dyDescent="0.3">
      <c r="B6" s="1" t="s">
        <v>10</v>
      </c>
      <c r="C6" s="131" t="s">
        <v>109</v>
      </c>
      <c r="D6" s="132"/>
      <c r="E6" s="133"/>
      <c r="F6" s="63">
        <v>365</v>
      </c>
    </row>
    <row r="7" spans="1:6" x14ac:dyDescent="0.3">
      <c r="B7" s="1" t="s">
        <v>12</v>
      </c>
      <c r="C7" s="161" t="s">
        <v>135</v>
      </c>
      <c r="D7" s="161"/>
      <c r="E7" s="161"/>
      <c r="F7" s="62">
        <v>15.2</v>
      </c>
    </row>
    <row r="8" spans="1:6" x14ac:dyDescent="0.3">
      <c r="B8" s="1" t="s">
        <v>115</v>
      </c>
      <c r="C8" s="131" t="s">
        <v>117</v>
      </c>
      <c r="D8" s="132"/>
      <c r="E8" s="133"/>
      <c r="F8" s="63">
        <v>12</v>
      </c>
    </row>
    <row r="9" spans="1:6" x14ac:dyDescent="0.3">
      <c r="B9" s="1" t="s">
        <v>122</v>
      </c>
      <c r="C9" s="161" t="s">
        <v>111</v>
      </c>
      <c r="D9" s="161"/>
      <c r="E9" s="161"/>
      <c r="F9" s="61">
        <v>60</v>
      </c>
    </row>
    <row r="10" spans="1:6" s="11" customFormat="1" x14ac:dyDescent="0.3">
      <c r="A10" s="7"/>
      <c r="B10" s="1" t="s">
        <v>123</v>
      </c>
      <c r="C10" s="131" t="s">
        <v>112</v>
      </c>
      <c r="D10" s="132"/>
      <c r="E10" s="133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25" t="s">
        <v>14</v>
      </c>
      <c r="D13" s="126"/>
      <c r="E13" s="3" t="s">
        <v>35</v>
      </c>
      <c r="F13" s="3" t="s">
        <v>1</v>
      </c>
    </row>
    <row r="14" spans="1:6" s="90" customFormat="1" x14ac:dyDescent="0.3">
      <c r="B14" s="74" t="s">
        <v>4</v>
      </c>
      <c r="C14" s="127" t="s">
        <v>136</v>
      </c>
      <c r="D14" s="127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40" t="s">
        <v>45</v>
      </c>
      <c r="D17" s="141"/>
      <c r="E17" s="142"/>
      <c r="F17" s="3" t="s">
        <v>178</v>
      </c>
    </row>
    <row r="18" spans="1:6" s="80" customFormat="1" x14ac:dyDescent="0.3">
      <c r="A18" s="90"/>
      <c r="B18" s="1" t="s">
        <v>2</v>
      </c>
      <c r="C18" s="131" t="s">
        <v>130</v>
      </c>
      <c r="D18" s="132"/>
      <c r="E18" s="133"/>
      <c r="F18" s="49">
        <v>62.93</v>
      </c>
    </row>
    <row r="19" spans="1:6" x14ac:dyDescent="0.3">
      <c r="A19" s="90"/>
      <c r="B19" s="2" t="s">
        <v>3</v>
      </c>
      <c r="C19" s="158" t="s">
        <v>119</v>
      </c>
      <c r="D19" s="159"/>
      <c r="E19" s="160"/>
      <c r="F19" s="31">
        <v>5.55</v>
      </c>
    </row>
    <row r="20" spans="1:6" s="80" customFormat="1" ht="15.95" customHeight="1" x14ac:dyDescent="0.15">
      <c r="B20" s="2" t="s">
        <v>4</v>
      </c>
      <c r="C20" s="131" t="s">
        <v>120</v>
      </c>
      <c r="D20" s="132"/>
      <c r="E20" s="133"/>
      <c r="F20" s="65">
        <v>40</v>
      </c>
    </row>
    <row r="21" spans="1:6" ht="16.5" customHeight="1" x14ac:dyDescent="0.3">
      <c r="A21" s="90"/>
      <c r="B21" s="2" t="s">
        <v>5</v>
      </c>
      <c r="C21" s="158" t="s">
        <v>121</v>
      </c>
      <c r="D21" s="159"/>
      <c r="E21" s="160"/>
      <c r="F21" s="66">
        <v>94.45</v>
      </c>
    </row>
    <row r="22" spans="1:6" x14ac:dyDescent="0.3">
      <c r="A22" s="90"/>
      <c r="B22" s="2" t="s">
        <v>6</v>
      </c>
      <c r="C22" s="131" t="s">
        <v>132</v>
      </c>
      <c r="D22" s="132"/>
      <c r="E22" s="133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20</v>
      </c>
      <c r="C26" s="151" t="s">
        <v>95</v>
      </c>
      <c r="D26" s="152"/>
      <c r="E26" s="153"/>
      <c r="F26" s="3" t="s">
        <v>178</v>
      </c>
    </row>
    <row r="27" spans="1:6" s="80" customFormat="1" x14ac:dyDescent="0.15">
      <c r="B27" s="1" t="s">
        <v>2</v>
      </c>
      <c r="C27" s="131" t="s">
        <v>124</v>
      </c>
      <c r="D27" s="132"/>
      <c r="E27" s="133"/>
      <c r="F27" s="65">
        <v>8</v>
      </c>
    </row>
    <row r="28" spans="1:6" x14ac:dyDescent="0.3">
      <c r="A28" s="80"/>
      <c r="B28" s="2" t="s">
        <v>3</v>
      </c>
      <c r="C28" s="134" t="s">
        <v>125</v>
      </c>
      <c r="D28" s="135"/>
      <c r="E28" s="136"/>
      <c r="F28" s="66">
        <v>20</v>
      </c>
    </row>
    <row r="29" spans="1:6" x14ac:dyDescent="0.3">
      <c r="A29" s="80"/>
      <c r="B29" s="2" t="s">
        <v>4</v>
      </c>
      <c r="C29" s="131" t="s">
        <v>126</v>
      </c>
      <c r="D29" s="132"/>
      <c r="E29" s="133"/>
      <c r="F29" s="49">
        <v>1.42</v>
      </c>
    </row>
    <row r="30" spans="1:6" x14ac:dyDescent="0.3">
      <c r="A30" s="80"/>
      <c r="B30" s="2" t="s">
        <v>5</v>
      </c>
      <c r="C30" s="134" t="s">
        <v>167</v>
      </c>
      <c r="D30" s="135"/>
      <c r="E30" s="136"/>
      <c r="F30" s="31">
        <v>45.22</v>
      </c>
    </row>
    <row r="31" spans="1:6" s="80" customFormat="1" ht="15.95" customHeight="1" x14ac:dyDescent="0.3">
      <c r="A31" s="7"/>
      <c r="B31" s="2" t="s">
        <v>6</v>
      </c>
      <c r="C31" s="131" t="s">
        <v>128</v>
      </c>
      <c r="D31" s="132"/>
      <c r="E31" s="133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34" t="s">
        <v>133</v>
      </c>
      <c r="D32" s="135"/>
      <c r="E32" s="136"/>
      <c r="F32" s="66">
        <v>15</v>
      </c>
    </row>
    <row r="33" spans="1:6" ht="15.75" customHeight="1" x14ac:dyDescent="0.3">
      <c r="A33" s="80"/>
      <c r="B33" s="2" t="s">
        <v>10</v>
      </c>
      <c r="C33" s="131" t="s">
        <v>129</v>
      </c>
      <c r="D33" s="132"/>
      <c r="E33" s="133"/>
      <c r="F33" s="65">
        <v>180</v>
      </c>
    </row>
    <row r="34" spans="1:6" x14ac:dyDescent="0.3">
      <c r="A34" s="80"/>
      <c r="B34" s="2" t="s">
        <v>11</v>
      </c>
      <c r="C34" s="134" t="s">
        <v>168</v>
      </c>
      <c r="D34" s="135"/>
      <c r="E34" s="136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21</v>
      </c>
      <c r="C37" s="149" t="s">
        <v>67</v>
      </c>
      <c r="D37" s="149"/>
      <c r="E37" s="149"/>
      <c r="F37" s="3" t="s">
        <v>179</v>
      </c>
    </row>
    <row r="38" spans="1:6" x14ac:dyDescent="0.3">
      <c r="B38" s="1" t="s">
        <v>2</v>
      </c>
      <c r="C38" s="150" t="s">
        <v>118</v>
      </c>
      <c r="D38" s="150"/>
      <c r="E38" s="150"/>
      <c r="F38" s="63">
        <f>PERC_HORA_EXTRA</f>
        <v>0</v>
      </c>
    </row>
    <row r="39" spans="1:6" ht="15" customHeight="1" x14ac:dyDescent="0.3">
      <c r="B39" s="1" t="s">
        <v>3</v>
      </c>
      <c r="C39" s="134" t="s">
        <v>127</v>
      </c>
      <c r="D39" s="135"/>
      <c r="E39" s="136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148</v>
      </c>
      <c r="C41" s="29"/>
      <c r="D41" s="29"/>
      <c r="E41" s="29"/>
      <c r="F41" s="30"/>
    </row>
    <row r="42" spans="1:6" ht="33.75" customHeight="1" x14ac:dyDescent="0.3">
      <c r="B42" s="130" t="s">
        <v>172</v>
      </c>
      <c r="C42" s="130"/>
      <c r="D42" s="130"/>
      <c r="E42" s="130"/>
      <c r="F42" s="130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158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49" t="s">
        <v>85</v>
      </c>
      <c r="D4" s="149"/>
      <c r="E4" s="3" t="s">
        <v>1</v>
      </c>
      <c r="F4" s="3" t="s">
        <v>159</v>
      </c>
    </row>
    <row r="5" spans="2:7" x14ac:dyDescent="0.3">
      <c r="B5" s="1" t="s">
        <v>2</v>
      </c>
      <c r="C5" s="164" t="s">
        <v>44</v>
      </c>
      <c r="D5" s="164"/>
      <c r="E5" s="50">
        <f>(1/MESES_NO_ANO)*100</f>
        <v>8.33</v>
      </c>
      <c r="F5" s="50" t="s">
        <v>160</v>
      </c>
    </row>
    <row r="6" spans="2:7" s="11" customFormat="1" x14ac:dyDescent="0.3">
      <c r="B6" s="2" t="s">
        <v>3</v>
      </c>
      <c r="C6" s="162" t="s">
        <v>87</v>
      </c>
      <c r="D6" s="162"/>
      <c r="E6" s="33">
        <f>(1/3)/MESES_NO_ANO*100</f>
        <v>2.78</v>
      </c>
      <c r="F6" s="33" t="s">
        <v>161</v>
      </c>
    </row>
    <row r="7" spans="2:7" s="90" customFormat="1" x14ac:dyDescent="0.3">
      <c r="B7" s="168" t="s">
        <v>60</v>
      </c>
      <c r="C7" s="168"/>
      <c r="D7" s="168"/>
      <c r="E7" s="168"/>
      <c r="F7" s="168"/>
    </row>
    <row r="8" spans="2:7" s="90" customFormat="1" ht="34.5" customHeight="1" x14ac:dyDescent="0.3">
      <c r="B8" s="1" t="s">
        <v>61</v>
      </c>
      <c r="C8" s="163" t="s">
        <v>88</v>
      </c>
      <c r="D8" s="163"/>
      <c r="E8" s="3" t="s">
        <v>1</v>
      </c>
    </row>
    <row r="9" spans="2:7" x14ac:dyDescent="0.3">
      <c r="B9" s="1" t="s">
        <v>2</v>
      </c>
      <c r="C9" s="164" t="s">
        <v>38</v>
      </c>
      <c r="D9" s="164"/>
      <c r="E9" s="50">
        <v>20</v>
      </c>
    </row>
    <row r="10" spans="2:7" s="80" customFormat="1" x14ac:dyDescent="0.15">
      <c r="B10" s="2" t="s">
        <v>3</v>
      </c>
      <c r="C10" s="162" t="s">
        <v>40</v>
      </c>
      <c r="D10" s="162"/>
      <c r="E10" s="40">
        <v>2.5</v>
      </c>
    </row>
    <row r="11" spans="2:7" s="80" customFormat="1" x14ac:dyDescent="0.15">
      <c r="B11" s="2" t="s">
        <v>4</v>
      </c>
      <c r="C11" s="164" t="s">
        <v>81</v>
      </c>
      <c r="D11" s="164"/>
      <c r="E11" s="50">
        <v>3</v>
      </c>
    </row>
    <row r="12" spans="2:7" s="80" customFormat="1" x14ac:dyDescent="0.15">
      <c r="B12" s="2" t="s">
        <v>5</v>
      </c>
      <c r="C12" s="162" t="s">
        <v>79</v>
      </c>
      <c r="D12" s="162"/>
      <c r="E12" s="33">
        <v>1.5</v>
      </c>
    </row>
    <row r="13" spans="2:7" s="80" customFormat="1" x14ac:dyDescent="0.15">
      <c r="B13" s="2" t="s">
        <v>6</v>
      </c>
      <c r="C13" s="164" t="s">
        <v>80</v>
      </c>
      <c r="D13" s="164"/>
      <c r="E13" s="50">
        <v>1</v>
      </c>
    </row>
    <row r="14" spans="2:7" s="81" customFormat="1" x14ac:dyDescent="0.15">
      <c r="B14" s="2" t="s">
        <v>7</v>
      </c>
      <c r="C14" s="162" t="s">
        <v>42</v>
      </c>
      <c r="D14" s="162"/>
      <c r="E14" s="40">
        <v>0.6</v>
      </c>
    </row>
    <row r="15" spans="2:7" s="81" customFormat="1" x14ac:dyDescent="0.15">
      <c r="B15" s="2" t="s">
        <v>10</v>
      </c>
      <c r="C15" s="164" t="s">
        <v>39</v>
      </c>
      <c r="D15" s="164"/>
      <c r="E15" s="50">
        <v>0.2</v>
      </c>
    </row>
    <row r="16" spans="2:7" x14ac:dyDescent="0.3">
      <c r="B16" s="2" t="s">
        <v>11</v>
      </c>
      <c r="C16" s="162" t="s">
        <v>41</v>
      </c>
      <c r="D16" s="162"/>
      <c r="E16" s="40">
        <v>8</v>
      </c>
    </row>
    <row r="17" spans="2:6" x14ac:dyDescent="0.3">
      <c r="B17" s="149" t="s">
        <v>43</v>
      </c>
      <c r="C17" s="149"/>
      <c r="D17" s="149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49" t="s">
        <v>45</v>
      </c>
      <c r="D19" s="149"/>
      <c r="E19" s="3" t="s">
        <v>1</v>
      </c>
      <c r="F19" s="3" t="s">
        <v>159</v>
      </c>
    </row>
    <row r="20" spans="2:6" s="90" customFormat="1" x14ac:dyDescent="0.3">
      <c r="B20" s="1" t="s">
        <v>2</v>
      </c>
      <c r="C20" s="165" t="s">
        <v>46</v>
      </c>
      <c r="D20" s="165"/>
      <c r="E20" s="50">
        <f>PERC_EMPREG_DEMIT_SEM_JUSTA_CAUSA_TOTAL_DESLIG%*PERC_EMPREG_AVISO_PREVIO_IND%*1/MESES_NO_ANO*100</f>
        <v>0.28999999999999998</v>
      </c>
      <c r="F20" s="50" t="s">
        <v>162</v>
      </c>
    </row>
    <row r="21" spans="2:6" s="90" customFormat="1" x14ac:dyDescent="0.3">
      <c r="B21" s="2" t="s">
        <v>3</v>
      </c>
      <c r="C21" s="166" t="s">
        <v>47</v>
      </c>
      <c r="D21" s="166"/>
      <c r="E21" s="40">
        <f>PERC_EMPREG_DEMIT_SEM_JUSTA_CAUSA_TOTAL_DESLIG%*PERC_EMPREG_AVISO_PREVIO_TRAB%*(DIAS_NA_SEMANA/DIAS_NO_MES)/MESES_NO_ANO*100</f>
        <v>1.1599999999999999</v>
      </c>
      <c r="F21" s="33" t="s">
        <v>166</v>
      </c>
    </row>
    <row r="22" spans="2:6" s="80" customFormat="1" ht="16.5" customHeight="1" x14ac:dyDescent="0.15">
      <c r="B22" s="2" t="s">
        <v>4</v>
      </c>
      <c r="C22" s="165" t="s">
        <v>181</v>
      </c>
      <c r="D22" s="165"/>
      <c r="E22" s="50">
        <f>ROUNDUP(PERC_AVISO_PREVIO_TRAB%*(PERC_MULTA_FGTS%)*PERC_FGTS%*100,2)</f>
        <v>0.04</v>
      </c>
      <c r="F22" s="50" t="s">
        <v>180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20</v>
      </c>
      <c r="C25" s="167" t="s">
        <v>95</v>
      </c>
      <c r="D25" s="167"/>
      <c r="E25" s="3" t="s">
        <v>1</v>
      </c>
      <c r="F25" s="3" t="s">
        <v>159</v>
      </c>
    </row>
    <row r="26" spans="2:6" s="80" customFormat="1" ht="15.95" customHeight="1" x14ac:dyDescent="0.15">
      <c r="B26" s="2" t="s">
        <v>2</v>
      </c>
      <c r="C26" s="164" t="s">
        <v>96</v>
      </c>
      <c r="D26" s="164"/>
      <c r="E26" s="50">
        <f>(1/MESES_NO_ANO)*100</f>
        <v>8.33</v>
      </c>
      <c r="F26" s="50" t="s">
        <v>163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164</v>
      </c>
    </row>
    <row r="28" spans="2:6" s="80" customFormat="1" ht="15.95" customHeight="1" x14ac:dyDescent="0.15">
      <c r="B28" s="2" t="s">
        <v>4</v>
      </c>
      <c r="C28" s="164" t="s">
        <v>98</v>
      </c>
      <c r="D28" s="164"/>
      <c r="E28" s="50">
        <f>(((DIAS_LICENCA_PATERNIDADE/DIAS_NO_MES)/MESES_NO_ANO)*PERC_NASCIDOS_VIVOS_POPUL_FEM%*PERC_PARTIC_MASC_VIGIL%)*100</f>
        <v>0.04</v>
      </c>
      <c r="F28" s="50" t="s">
        <v>169</v>
      </c>
    </row>
    <row r="29" spans="2:6" s="80" customFormat="1" x14ac:dyDescent="0.15">
      <c r="B29" s="2" t="s">
        <v>5</v>
      </c>
      <c r="C29" s="162" t="s">
        <v>99</v>
      </c>
      <c r="D29" s="162"/>
      <c r="E29" s="40">
        <f>(DIAS_PAGOS_EMPRESA_ACID_TRAB/DIAS_NO_MES)/MESES_NO_ANO*PERC_EMPREG_AFAST_TRAB%*100</f>
        <v>0.02</v>
      </c>
      <c r="F29" s="33" t="s">
        <v>165</v>
      </c>
    </row>
    <row r="30" spans="2:6" s="80" customFormat="1" ht="33" x14ac:dyDescent="0.15">
      <c r="B30" s="2" t="s">
        <v>6</v>
      </c>
      <c r="C30" s="164" t="s">
        <v>100</v>
      </c>
      <c r="D30" s="164"/>
      <c r="E30" s="50">
        <f>(((DIAS_LICENCA_MATERNIDADE/DIAS_NO_MES)/MESES_NO_ANO)*PERC_NASCIDOS_VIVOS_POPUL_FEM%*PERC_PARTIC_FEM_VIGIL%*PERC_GPS_FGTS%*100)</f>
        <v>0.14000000000000001</v>
      </c>
      <c r="F30" s="50" t="s">
        <v>170</v>
      </c>
    </row>
    <row r="31" spans="2:6" s="80" customFormat="1" x14ac:dyDescent="0.15">
      <c r="B31" s="2" t="s">
        <v>7</v>
      </c>
      <c r="C31" s="162" t="str">
        <f>OUTRAS_AUSENCIAS_DESCRICAO</f>
        <v>Outras Ausências (Especificar - em %)</v>
      </c>
      <c r="D31" s="162"/>
      <c r="E31" s="40">
        <f>PERC_SUBSTITUTO_OUTRAS_AUSENCIAS</f>
        <v>0</v>
      </c>
      <c r="F31" s="33"/>
    </row>
    <row r="33" spans="2:7" ht="20.25" x14ac:dyDescent="0.3">
      <c r="B33" s="28" t="s">
        <v>148</v>
      </c>
    </row>
    <row r="34" spans="2:7" ht="42.75" customHeight="1" x14ac:dyDescent="0.3">
      <c r="B34" s="130" t="s">
        <v>172</v>
      </c>
      <c r="C34" s="130"/>
      <c r="D34" s="130"/>
      <c r="E34" s="130"/>
      <c r="G34" s="101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52" zoomScaleNormal="100" zoomScaleSheetLayoutView="100" workbookViewId="0">
      <selection activeCell="I14" sqref="I14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7" t="s">
        <v>182</v>
      </c>
      <c r="C1" s="188"/>
      <c r="D1" s="188"/>
      <c r="E1" s="188"/>
      <c r="F1" s="189"/>
    </row>
    <row r="2" spans="2:6" ht="20.25" x14ac:dyDescent="0.35">
      <c r="B2" s="190" t="s">
        <v>183</v>
      </c>
      <c r="C2" s="191"/>
      <c r="D2" s="192"/>
      <c r="E2" s="78" t="s">
        <v>51</v>
      </c>
      <c r="F2" s="79">
        <v>44161</v>
      </c>
    </row>
    <row r="3" spans="2:6" s="80" customFormat="1" ht="25.5" x14ac:dyDescent="0.5">
      <c r="B3" s="122" t="s">
        <v>154</v>
      </c>
      <c r="C3" s="122"/>
      <c r="D3" s="122"/>
      <c r="E3" s="122"/>
      <c r="F3" s="122"/>
    </row>
    <row r="4" spans="2:6" s="80" customFormat="1" ht="15.95" customHeight="1" x14ac:dyDescent="0.3">
      <c r="B4" s="111" t="s">
        <v>89</v>
      </c>
      <c r="C4" s="111"/>
      <c r="D4" s="111"/>
      <c r="E4" s="111"/>
      <c r="F4" s="111"/>
    </row>
    <row r="5" spans="2:6" s="80" customFormat="1" ht="15.95" customHeight="1" x14ac:dyDescent="0.3">
      <c r="B5" s="114" t="s">
        <v>173</v>
      </c>
      <c r="C5" s="114"/>
      <c r="D5" s="193" t="str">
        <f>NUMERO_PROCESSO</f>
        <v>19.00.6180.0004148/2020-91</v>
      </c>
      <c r="E5" s="193"/>
      <c r="F5" s="193"/>
    </row>
    <row r="6" spans="2:6" s="80" customFormat="1" ht="15.75" customHeight="1" x14ac:dyDescent="0.3">
      <c r="B6" s="112" t="s">
        <v>174</v>
      </c>
      <c r="C6" s="112"/>
      <c r="D6" s="185" t="str">
        <f>MODALIDADE_DE_LICITACAO</f>
        <v>Pregão nº</v>
      </c>
      <c r="E6" s="185"/>
      <c r="F6" s="107" t="str">
        <f>NUMERO_PREGAO</f>
        <v>XX/20XX</v>
      </c>
    </row>
    <row r="7" spans="2:6" s="81" customFormat="1" ht="15.75" customHeight="1" x14ac:dyDescent="0.3">
      <c r="B7" s="186" t="s">
        <v>191</v>
      </c>
      <c r="C7" s="186"/>
      <c r="D7" s="186"/>
      <c r="E7" s="186"/>
      <c r="F7" s="186"/>
    </row>
    <row r="8" spans="2:6" s="80" customFormat="1" ht="18" customHeight="1" x14ac:dyDescent="0.3">
      <c r="B8" s="19" t="s">
        <v>2</v>
      </c>
      <c r="C8" s="114" t="s">
        <v>56</v>
      </c>
      <c r="D8" s="114"/>
      <c r="E8" s="114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33</v>
      </c>
      <c r="D9" s="183" t="str">
        <f>IF(LOCAL_DE_EXECUCAO="","",LOCAL_DE_EXECUCAO)</f>
        <v/>
      </c>
      <c r="E9" s="183"/>
      <c r="F9" s="183"/>
    </row>
    <row r="10" spans="2:6" s="80" customFormat="1" ht="18.75" customHeight="1" x14ac:dyDescent="0.3">
      <c r="B10" s="19" t="s">
        <v>4</v>
      </c>
      <c r="C10" s="114" t="s">
        <v>34</v>
      </c>
      <c r="D10" s="114"/>
      <c r="E10" s="114"/>
      <c r="F10" s="83" t="str">
        <f>ACORDO_COLETIVO</f>
        <v>01/2020</v>
      </c>
    </row>
    <row r="11" spans="2:6" s="80" customFormat="1" ht="15.95" customHeight="1" x14ac:dyDescent="0.3">
      <c r="B11" s="1" t="s">
        <v>5</v>
      </c>
      <c r="C11" s="183" t="s">
        <v>57</v>
      </c>
      <c r="D11" s="183"/>
      <c r="E11" s="183"/>
      <c r="F11" s="84">
        <f>NUMERO_MESES_EXEC_CONTRATUAL</f>
        <v>12</v>
      </c>
    </row>
    <row r="12" spans="2:6" s="80" customFormat="1" x14ac:dyDescent="0.3">
      <c r="B12" s="1" t="s">
        <v>6</v>
      </c>
      <c r="C12" s="184" t="s">
        <v>77</v>
      </c>
      <c r="D12" s="184"/>
      <c r="E12" s="184"/>
      <c r="F12" s="85">
        <f>IF(QTDE_POSTOS="","",QTDE_POSTOS)</f>
        <v>2</v>
      </c>
    </row>
    <row r="13" spans="2:6" s="88" customFormat="1" ht="15" customHeight="1" x14ac:dyDescent="0.2">
      <c r="B13" s="86" t="s">
        <v>149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24" t="s">
        <v>53</v>
      </c>
      <c r="D14" s="124"/>
      <c r="E14" s="180" t="str">
        <f>IF(TIPO_DE_SERVICO="","",TIPO_DE_SERVICO)</f>
        <v>MOTORISTA VEÍCULO PESADO</v>
      </c>
      <c r="F14" s="180"/>
    </row>
    <row r="15" spans="2:6" s="81" customFormat="1" x14ac:dyDescent="0.3">
      <c r="B15" s="19">
        <v>2</v>
      </c>
      <c r="C15" s="21" t="s">
        <v>52</v>
      </c>
      <c r="D15" s="179" t="str">
        <f>IF(CBO="","",CBO)</f>
        <v/>
      </c>
      <c r="E15" s="179"/>
      <c r="F15" s="179"/>
    </row>
    <row r="16" spans="2:6" s="80" customFormat="1" ht="15" customHeight="1" x14ac:dyDescent="0.3">
      <c r="B16" s="19">
        <v>3</v>
      </c>
      <c r="C16" s="103" t="s">
        <v>54</v>
      </c>
      <c r="D16" s="180" t="str">
        <f>IF(CATEGORIA_PROFISSIONAL="","",CATEGORIA_PROFISSIONAL)</f>
        <v/>
      </c>
      <c r="E16" s="180"/>
      <c r="F16" s="180"/>
    </row>
    <row r="17" spans="2:6" s="80" customFormat="1" ht="15" customHeight="1" x14ac:dyDescent="0.3">
      <c r="B17" s="19">
        <v>4</v>
      </c>
      <c r="C17" s="127" t="s">
        <v>55</v>
      </c>
      <c r="D17" s="127"/>
      <c r="E17" s="127"/>
      <c r="F17" s="104">
        <f>DATA_BASE_CATEGORIA</f>
        <v>43831</v>
      </c>
    </row>
    <row r="18" spans="2:6" s="89" customFormat="1" ht="20.25" customHeight="1" x14ac:dyDescent="0.3">
      <c r="B18" s="181" t="s">
        <v>37</v>
      </c>
      <c r="C18" s="181"/>
      <c r="D18" s="181"/>
      <c r="E18" s="181"/>
      <c r="F18" s="181"/>
    </row>
    <row r="19" spans="2:6" x14ac:dyDescent="0.3">
      <c r="B19" s="149" t="s">
        <v>49</v>
      </c>
      <c r="C19" s="149"/>
      <c r="D19" s="149"/>
      <c r="E19" s="149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57" t="s">
        <v>9</v>
      </c>
      <c r="D21" s="157"/>
      <c r="E21" s="157"/>
      <c r="F21" s="3" t="s">
        <v>13</v>
      </c>
    </row>
    <row r="22" spans="2:6" x14ac:dyDescent="0.3">
      <c r="B22" s="1" t="s">
        <v>2</v>
      </c>
      <c r="C22" s="150" t="s">
        <v>84</v>
      </c>
      <c r="D22" s="150"/>
      <c r="E22" s="150"/>
      <c r="F22" s="48">
        <f>SALARIO_BASE</f>
        <v>2590</v>
      </c>
    </row>
    <row r="23" spans="2:6" x14ac:dyDescent="0.3">
      <c r="B23" s="1" t="s">
        <v>3</v>
      </c>
      <c r="C23" s="162" t="s">
        <v>86</v>
      </c>
      <c r="D23" s="162"/>
      <c r="E23" s="162"/>
      <c r="F23" s="4">
        <f>PERC_ADIC_PERIC%*SALARIO_BASE</f>
        <v>0</v>
      </c>
    </row>
    <row r="24" spans="2:6" ht="15.75" customHeight="1" x14ac:dyDescent="0.3">
      <c r="B24" s="1" t="s">
        <v>4</v>
      </c>
      <c r="C24" s="182" t="s">
        <v>75</v>
      </c>
      <c r="D24" s="182"/>
      <c r="E24" s="182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2" t="s">
        <v>78</v>
      </c>
      <c r="D25" s="162"/>
      <c r="E25" s="162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31" t="s">
        <v>151</v>
      </c>
      <c r="D26" s="132"/>
      <c r="E26" s="133"/>
      <c r="F26" s="48">
        <f>PERC_ADIC_INS%*SAL_MINIMO</f>
        <v>0</v>
      </c>
    </row>
    <row r="27" spans="2:6" x14ac:dyDescent="0.3">
      <c r="B27" s="1" t="s">
        <v>7</v>
      </c>
      <c r="C27" s="154" t="str">
        <f>OUTROS_REMUNERACAO_1_DESCRICAO</f>
        <v>Outras Remunerações 1 (Especificar)</v>
      </c>
      <c r="D27" s="155"/>
      <c r="E27" s="156"/>
      <c r="F27" s="4">
        <f>OUTROS_REMUNERACAO_1</f>
        <v>0</v>
      </c>
    </row>
    <row r="28" spans="2:6" x14ac:dyDescent="0.3">
      <c r="B28" s="1" t="s">
        <v>10</v>
      </c>
      <c r="C28" s="174" t="str">
        <f>OUTROS_REMUNERACAO_2_DESCRICAO</f>
        <v>Outras Remunerações 2 (Especificar)</v>
      </c>
      <c r="D28" s="175"/>
      <c r="E28" s="176"/>
      <c r="F28" s="48">
        <f>OUTROS_REMUNERACAO_2</f>
        <v>0</v>
      </c>
    </row>
    <row r="29" spans="2:6" x14ac:dyDescent="0.3">
      <c r="B29" s="1" t="s">
        <v>11</v>
      </c>
      <c r="C29" s="154" t="str">
        <f>OUTROS_REMUNERACAO_3_DESCRICAO</f>
        <v>Outras Remunerações 3 (Especificar)</v>
      </c>
      <c r="D29" s="155"/>
      <c r="E29" s="156"/>
      <c r="F29" s="4">
        <f>OUTROS_REMUNERACAO_3</f>
        <v>0</v>
      </c>
    </row>
    <row r="30" spans="2:6" x14ac:dyDescent="0.3">
      <c r="B30" s="177" t="s">
        <v>43</v>
      </c>
      <c r="C30" s="177"/>
      <c r="D30" s="177"/>
      <c r="E30" s="177"/>
      <c r="F30" s="35">
        <f>SUM(F22:F29)</f>
        <v>2590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49" t="s">
        <v>85</v>
      </c>
      <c r="D33" s="149"/>
      <c r="E33" s="3" t="s">
        <v>1</v>
      </c>
      <c r="F33" s="3" t="s">
        <v>13</v>
      </c>
    </row>
    <row r="34" spans="2:6" x14ac:dyDescent="0.3">
      <c r="B34" s="1" t="s">
        <v>2</v>
      </c>
      <c r="C34" s="164" t="s">
        <v>44</v>
      </c>
      <c r="D34" s="164"/>
      <c r="E34" s="50">
        <f>PERC_DEC_TERC</f>
        <v>8.33</v>
      </c>
      <c r="F34" s="49">
        <f>PERC_DEC_TERC%*MOD_1_REMUNERACAO</f>
        <v>215.75</v>
      </c>
    </row>
    <row r="35" spans="2:6" s="11" customFormat="1" x14ac:dyDescent="0.3">
      <c r="B35" s="2" t="s">
        <v>3</v>
      </c>
      <c r="C35" s="162" t="s">
        <v>87</v>
      </c>
      <c r="D35" s="162"/>
      <c r="E35" s="33">
        <f>PERC_ADIC_FERIAS</f>
        <v>2.78</v>
      </c>
      <c r="F35" s="31">
        <f>PERC_ADIC_FERIAS%*MOD_1_REMUNERACAO</f>
        <v>72</v>
      </c>
    </row>
    <row r="36" spans="2:6" s="90" customFormat="1" x14ac:dyDescent="0.3">
      <c r="B36" s="140" t="s">
        <v>43</v>
      </c>
      <c r="C36" s="141"/>
      <c r="D36" s="141"/>
      <c r="E36" s="142"/>
      <c r="F36" s="36">
        <f>SUM(F34:F35)</f>
        <v>287.75</v>
      </c>
    </row>
    <row r="37" spans="2:6" s="90" customFormat="1" ht="31.5" customHeight="1" x14ac:dyDescent="0.3">
      <c r="B37" s="178" t="s">
        <v>60</v>
      </c>
      <c r="C37" s="178"/>
      <c r="D37" s="178"/>
      <c r="E37" s="178"/>
      <c r="F37" s="178"/>
    </row>
    <row r="38" spans="2:6" s="90" customFormat="1" ht="34.5" customHeight="1" x14ac:dyDescent="0.3">
      <c r="B38" s="1" t="s">
        <v>61</v>
      </c>
      <c r="C38" s="163" t="s">
        <v>88</v>
      </c>
      <c r="D38" s="163"/>
      <c r="E38" s="3" t="s">
        <v>1</v>
      </c>
      <c r="F38" s="3" t="s">
        <v>13</v>
      </c>
    </row>
    <row r="39" spans="2:6" x14ac:dyDescent="0.3">
      <c r="B39" s="1" t="s">
        <v>2</v>
      </c>
      <c r="C39" s="164" t="s">
        <v>38</v>
      </c>
      <c r="D39" s="164"/>
      <c r="E39" s="50">
        <f>PERC_INSS</f>
        <v>20</v>
      </c>
      <c r="F39" s="49">
        <f>PERC_INSS%*(MOD_1_REMUNERACAO+SUBMOD_2_1_DEC_TERC_ADIC_FERIAS)</f>
        <v>575.54999999999995</v>
      </c>
    </row>
    <row r="40" spans="2:6" s="80" customFormat="1" x14ac:dyDescent="0.15">
      <c r="B40" s="2" t="s">
        <v>3</v>
      </c>
      <c r="C40" s="162" t="s">
        <v>40</v>
      </c>
      <c r="D40" s="162"/>
      <c r="E40" s="40">
        <f>PERC_SAL_EDUCACAO</f>
        <v>2.5</v>
      </c>
      <c r="F40" s="31">
        <f>PERC_SAL_EDUCACAO%*(MOD_1_REMUNERACAO+SUBMOD_2_1_DEC_TERC_ADIC_FERIAS)</f>
        <v>71.94</v>
      </c>
    </row>
    <row r="41" spans="2:6" s="80" customFormat="1" x14ac:dyDescent="0.15">
      <c r="B41" s="2" t="s">
        <v>4</v>
      </c>
      <c r="C41" s="164" t="s">
        <v>81</v>
      </c>
      <c r="D41" s="164"/>
      <c r="E41" s="50">
        <f>PERC_RAT</f>
        <v>3</v>
      </c>
      <c r="F41" s="49">
        <f>PERC_RAT%*(MOD_1_REMUNERACAO+SUBMOD_2_1_DEC_TERC_ADIC_FERIAS)</f>
        <v>86.33</v>
      </c>
    </row>
    <row r="42" spans="2:6" s="80" customFormat="1" x14ac:dyDescent="0.15">
      <c r="B42" s="2" t="s">
        <v>5</v>
      </c>
      <c r="C42" s="162" t="s">
        <v>79</v>
      </c>
      <c r="D42" s="162"/>
      <c r="E42" s="33">
        <f>PERC_SESC</f>
        <v>1.5</v>
      </c>
      <c r="F42" s="31">
        <f>PERC_SESC%*(MOD_1_REMUNERACAO+SUBMOD_2_1_DEC_TERC_ADIC_FERIAS)</f>
        <v>43.17</v>
      </c>
    </row>
    <row r="43" spans="2:6" s="80" customFormat="1" x14ac:dyDescent="0.15">
      <c r="B43" s="2" t="s">
        <v>6</v>
      </c>
      <c r="C43" s="164" t="s">
        <v>80</v>
      </c>
      <c r="D43" s="164"/>
      <c r="E43" s="50">
        <f>PERC_SENAC</f>
        <v>1</v>
      </c>
      <c r="F43" s="49">
        <f>PERC_SENAC%*(MOD_1_REMUNERACAO+SUBMOD_2_1_DEC_TERC_ADIC_FERIAS)</f>
        <v>28.78</v>
      </c>
    </row>
    <row r="44" spans="2:6" s="81" customFormat="1" x14ac:dyDescent="0.15">
      <c r="B44" s="2" t="s">
        <v>7</v>
      </c>
      <c r="C44" s="162" t="s">
        <v>42</v>
      </c>
      <c r="D44" s="162"/>
      <c r="E44" s="40">
        <f>PERC_SEBRAE</f>
        <v>0.6</v>
      </c>
      <c r="F44" s="31">
        <f>PERC_SEBRAE%*(MOD_1_REMUNERACAO+SUBMOD_2_1_DEC_TERC_ADIC_FERIAS)</f>
        <v>17.27</v>
      </c>
    </row>
    <row r="45" spans="2:6" s="81" customFormat="1" x14ac:dyDescent="0.15">
      <c r="B45" s="2" t="s">
        <v>10</v>
      </c>
      <c r="C45" s="164" t="s">
        <v>39</v>
      </c>
      <c r="D45" s="164"/>
      <c r="E45" s="50">
        <f>PERC_INCRA</f>
        <v>0.2</v>
      </c>
      <c r="F45" s="49">
        <f>PERC_INCRA%*(MOD_1_REMUNERACAO+SUBMOD_2_1_DEC_TERC_ADIC_FERIAS)</f>
        <v>5.76</v>
      </c>
    </row>
    <row r="46" spans="2:6" x14ac:dyDescent="0.3">
      <c r="B46" s="2" t="s">
        <v>11</v>
      </c>
      <c r="C46" s="162" t="s">
        <v>41</v>
      </c>
      <c r="D46" s="162"/>
      <c r="E46" s="40">
        <f>PERC_FGTS</f>
        <v>8</v>
      </c>
      <c r="F46" s="31">
        <f>PERC_FGTS%*(MOD_1_REMUNERACAO+SUBMOD_2_1_DEC_TERC_ADIC_FERIAS)</f>
        <v>230.22</v>
      </c>
    </row>
    <row r="47" spans="2:6" x14ac:dyDescent="0.3">
      <c r="B47" s="140" t="s">
        <v>43</v>
      </c>
      <c r="C47" s="141"/>
      <c r="D47" s="141"/>
      <c r="E47" s="142"/>
      <c r="F47" s="37">
        <f>SUM(F39:F46)</f>
        <v>1059.02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57" t="s">
        <v>14</v>
      </c>
      <c r="D49" s="157"/>
      <c r="E49" s="157"/>
      <c r="F49" s="3" t="s">
        <v>13</v>
      </c>
    </row>
    <row r="50" spans="2:6" x14ac:dyDescent="0.3">
      <c r="B50" s="19" t="s">
        <v>2</v>
      </c>
      <c r="C50" s="164" t="s">
        <v>15</v>
      </c>
      <c r="D50" s="164"/>
      <c r="E50" s="164"/>
      <c r="F50" s="49">
        <f>IF(((TRANSPORTE_POR_DIA*DIAS_TRABALHADOS_NO_MES)-(PERC_DESC_TRANSP_REMUNERACAO%*(AL_1_A_SAL_BASE)))&gt;0,((TRANSPORTE_POR_DIA*DIAS_TRABALHADOS_NO_MES)-(PERC_DESC_TRANSP_REMUNERACAO%*(AL_1_A_SAL_BASE))),0)</f>
        <v>86.6</v>
      </c>
    </row>
    <row r="51" spans="2:6" s="90" customFormat="1" x14ac:dyDescent="0.3">
      <c r="B51" s="19" t="s">
        <v>3</v>
      </c>
      <c r="C51" s="162" t="s">
        <v>62</v>
      </c>
      <c r="D51" s="162"/>
      <c r="E51" s="162"/>
      <c r="F51" s="31">
        <f>ALIMENTACAO_POR_DIA*DIAS_TRABALHADOS_NO_MES</f>
        <v>807.4</v>
      </c>
    </row>
    <row r="52" spans="2:6" s="90" customFormat="1" x14ac:dyDescent="0.3">
      <c r="B52" s="19" t="s">
        <v>4</v>
      </c>
      <c r="C52" s="174" t="str">
        <f>OUTROS_BENEFICIOS_1_DESCRICAO</f>
        <v>Outros Benefícios 1 (Auxilio funeral e seguro de vida)</v>
      </c>
      <c r="D52" s="175"/>
      <c r="E52" s="176"/>
      <c r="F52" s="49">
        <f>OUTROS_BENEFICIOS_1</f>
        <v>2</v>
      </c>
    </row>
    <row r="53" spans="2:6" s="90" customFormat="1" x14ac:dyDescent="0.3">
      <c r="B53" s="19" t="s">
        <v>5</v>
      </c>
      <c r="C53" s="154" t="str">
        <f>OUTROS_BENEFICIOS_2_DESCRICAO</f>
        <v>Outros Benefícios 2 (Especificar)</v>
      </c>
      <c r="D53" s="155"/>
      <c r="E53" s="156"/>
      <c r="F53" s="31">
        <f>OUTROS_BENEFICIOS_2</f>
        <v>0</v>
      </c>
    </row>
    <row r="54" spans="2:6" s="90" customFormat="1" x14ac:dyDescent="0.3">
      <c r="B54" s="19" t="s">
        <v>6</v>
      </c>
      <c r="C54" s="174" t="str">
        <f>OUTROS_BENEFICIOS_3_DESCRICAO</f>
        <v>Outros Benefícios 3 (Especificar)</v>
      </c>
      <c r="D54" s="175"/>
      <c r="E54" s="176"/>
      <c r="F54" s="49">
        <f>OUTROS_BENEFICIOS_3</f>
        <v>0</v>
      </c>
    </row>
    <row r="55" spans="2:6" s="90" customFormat="1" ht="15" customHeight="1" x14ac:dyDescent="0.3">
      <c r="B55" s="177" t="s">
        <v>43</v>
      </c>
      <c r="C55" s="177"/>
      <c r="D55" s="177"/>
      <c r="E55" s="177"/>
      <c r="F55" s="35">
        <f>SUM(F50:F54)</f>
        <v>896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49" t="s">
        <v>45</v>
      </c>
      <c r="D57" s="149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5" t="s">
        <v>46</v>
      </c>
      <c r="D58" s="165"/>
      <c r="E58" s="50">
        <f>PERC_AVISO_PREVIO_IND</f>
        <v>0.28999999999999998</v>
      </c>
      <c r="F58" s="49">
        <f>PERC_AVISO_PREVIO_IND%*(MOD_1_REMUNERACAO+SUBMOD_2_1_DEC_TERC_ADIC_FERIAS+AL_2_2_FGTS+SUBMOD_2_3_BENEFICIOS)</f>
        <v>11.61</v>
      </c>
    </row>
    <row r="59" spans="2:6" s="90" customFormat="1" x14ac:dyDescent="0.3">
      <c r="B59" s="2" t="s">
        <v>3</v>
      </c>
      <c r="C59" s="166" t="s">
        <v>47</v>
      </c>
      <c r="D59" s="166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56.06</v>
      </c>
    </row>
    <row r="60" spans="2:6" s="80" customFormat="1" x14ac:dyDescent="0.15">
      <c r="B60" s="2" t="s">
        <v>4</v>
      </c>
      <c r="C60" s="165" t="s">
        <v>181</v>
      </c>
      <c r="D60" s="165"/>
      <c r="E60" s="50">
        <f>PERC_MULTA_FGTS_AV_PREV_TRAB</f>
        <v>0.04</v>
      </c>
      <c r="F60" s="49">
        <f>PERC_MULTA_FGTS_AV_PREV_TRAB%*(MOD_1_REMUNERACAO+SUBMOD_2_1_DEC_TERC_ADIC_FERIAS)</f>
        <v>1.1499999999999999</v>
      </c>
    </row>
    <row r="61" spans="2:6" s="80" customFormat="1" x14ac:dyDescent="0.3">
      <c r="B61" s="140" t="s">
        <v>43</v>
      </c>
      <c r="C61" s="141"/>
      <c r="D61" s="141"/>
      <c r="E61" s="142"/>
      <c r="F61" s="36">
        <f>SUM(F58:F60)</f>
        <v>68.819999999999993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20</v>
      </c>
      <c r="C65" s="167" t="s">
        <v>95</v>
      </c>
      <c r="D65" s="167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4" t="s">
        <v>96</v>
      </c>
      <c r="D66" s="164"/>
      <c r="E66" s="50">
        <f>PERC_SUBSTITUTO_FERIAS</f>
        <v>8.33</v>
      </c>
      <c r="F66" s="49">
        <f>PERC_SUBSTITUTO_FERIAS%*(MOD_1_REMUNERACAO+MOD_2_ENCARGOS_BENEFICIOS+MOD_3_PROVISAO_RESCISAO)</f>
        <v>408.3</v>
      </c>
    </row>
    <row r="67" spans="2:6" s="80" customFormat="1" ht="15.95" customHeight="1" x14ac:dyDescent="0.15">
      <c r="B67" s="2" t="s">
        <v>3</v>
      </c>
      <c r="C67" s="162" t="s">
        <v>97</v>
      </c>
      <c r="D67" s="162"/>
      <c r="E67" s="40">
        <f>PERC_SUBSTITUTO_AUSENCIAS_LEGAIS</f>
        <v>2.2200000000000002</v>
      </c>
      <c r="F67" s="31">
        <f>PERC_SUBSTITUTO_AUSENCIAS_LEGAIS%*(MOD_1_REMUNERACAO+MOD_2_ENCARGOS_BENEFICIOS+MOD_3_PROVISAO_RESCISAO)</f>
        <v>108.82</v>
      </c>
    </row>
    <row r="68" spans="2:6" s="80" customFormat="1" ht="15.95" customHeight="1" x14ac:dyDescent="0.15">
      <c r="B68" s="2" t="s">
        <v>4</v>
      </c>
      <c r="C68" s="164" t="s">
        <v>98</v>
      </c>
      <c r="D68" s="164"/>
      <c r="E68" s="50">
        <f>PERC_SUBSTITUTO_LICENCA_PATERNIDADE</f>
        <v>0.04</v>
      </c>
      <c r="F68" s="49">
        <f>PERC_SUBSTITUTO_LICENCA_PATERNIDADE%*(MOD_1_REMUNERACAO+MOD_2_ENCARGOS_BENEFICIOS+MOD_3_PROVISAO_RESCISAO)</f>
        <v>1.96</v>
      </c>
    </row>
    <row r="69" spans="2:6" s="80" customFormat="1" x14ac:dyDescent="0.15">
      <c r="B69" s="2" t="s">
        <v>5</v>
      </c>
      <c r="C69" s="162" t="s">
        <v>99</v>
      </c>
      <c r="D69" s="162"/>
      <c r="E69" s="40">
        <f>PERC_SUBSTITUTO_ACID_TRAB</f>
        <v>0.02</v>
      </c>
      <c r="F69" s="31">
        <f>PERC_SUBSTITUTO_ACID_TRAB%*(MOD_1_REMUNERACAO+MOD_2_ENCARGOS_BENEFICIOS+MOD_3_PROVISAO_RESCISAO)</f>
        <v>0.98</v>
      </c>
    </row>
    <row r="70" spans="2:6" s="80" customFormat="1" x14ac:dyDescent="0.15">
      <c r="B70" s="2" t="s">
        <v>6</v>
      </c>
      <c r="C70" s="164" t="s">
        <v>100</v>
      </c>
      <c r="D70" s="164"/>
      <c r="E70" s="50">
        <f>PERC_SUBSTITUTO_AFAST_MATERN</f>
        <v>0.14000000000000001</v>
      </c>
      <c r="F70" s="49">
        <f>PERC_SUBSTITUTO_AFAST_MATERN%*(MOD_1_REMUNERACAO+MOD_2_ENCARGOS_BENEFICIOS+MOD_3_PROVISAO_RESCISAO)</f>
        <v>6.86</v>
      </c>
    </row>
    <row r="71" spans="2:6" s="80" customFormat="1" x14ac:dyDescent="0.15">
      <c r="B71" s="2" t="s">
        <v>7</v>
      </c>
      <c r="C71" s="172" t="str">
        <f>OUTRAS_AUSENCIAS_DESCRICAO</f>
        <v>Outras Ausências (Especificar - em %)</v>
      </c>
      <c r="D71" s="162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40" t="s">
        <v>43</v>
      </c>
      <c r="C72" s="141"/>
      <c r="D72" s="141"/>
      <c r="E72" s="142"/>
      <c r="F72" s="36">
        <f>SUM(F66:F71)</f>
        <v>526.91999999999996</v>
      </c>
    </row>
    <row r="73" spans="2:6" s="80" customFormat="1" ht="15" customHeight="1" x14ac:dyDescent="0.3">
      <c r="B73" s="45" t="s">
        <v>176</v>
      </c>
      <c r="C73" s="6"/>
      <c r="D73" s="16"/>
      <c r="E73" s="14"/>
      <c r="F73" s="14"/>
    </row>
    <row r="74" spans="2:6" s="80" customFormat="1" x14ac:dyDescent="0.15">
      <c r="B74" s="1" t="s">
        <v>21</v>
      </c>
      <c r="C74" s="149" t="s">
        <v>175</v>
      </c>
      <c r="D74" s="149"/>
      <c r="E74" s="149"/>
      <c r="F74" s="3" t="s">
        <v>13</v>
      </c>
    </row>
    <row r="75" spans="2:6" s="80" customFormat="1" x14ac:dyDescent="0.15">
      <c r="B75" s="1" t="s">
        <v>2</v>
      </c>
      <c r="C75" s="164" t="s">
        <v>101</v>
      </c>
      <c r="D75" s="164"/>
      <c r="E75" s="164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49" t="s">
        <v>43</v>
      </c>
      <c r="C76" s="149"/>
      <c r="D76" s="149"/>
      <c r="E76" s="149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43" t="s">
        <v>0</v>
      </c>
      <c r="D79" s="143"/>
      <c r="E79" s="143"/>
      <c r="F79" s="44" t="s">
        <v>13</v>
      </c>
    </row>
    <row r="80" spans="2:6" x14ac:dyDescent="0.3">
      <c r="B80" s="39" t="s">
        <v>2</v>
      </c>
      <c r="C80" s="144" t="s">
        <v>16</v>
      </c>
      <c r="D80" s="144"/>
      <c r="E80" s="144"/>
      <c r="F80" s="51">
        <f>UNIFORMES</f>
        <v>163.25</v>
      </c>
    </row>
    <row r="81" spans="2:6" x14ac:dyDescent="0.3">
      <c r="B81" s="39" t="s">
        <v>3</v>
      </c>
      <c r="C81" s="145" t="s">
        <v>18</v>
      </c>
      <c r="D81" s="145"/>
      <c r="E81" s="145"/>
      <c r="F81" s="41">
        <f>MATERIAIS</f>
        <v>4.13</v>
      </c>
    </row>
    <row r="82" spans="2:6" x14ac:dyDescent="0.3">
      <c r="B82" s="39" t="s">
        <v>4</v>
      </c>
      <c r="C82" s="144" t="s">
        <v>17</v>
      </c>
      <c r="D82" s="144"/>
      <c r="E82" s="144"/>
      <c r="F82" s="51">
        <f>EQUIPAMENTOS</f>
        <v>1.42</v>
      </c>
    </row>
    <row r="83" spans="2:6" x14ac:dyDescent="0.3">
      <c r="B83" s="39" t="s">
        <v>5</v>
      </c>
      <c r="C83" s="173" t="str">
        <f>OUTROS_INSUMOS_DESCRICAO</f>
        <v>Outros (custo com celular)</v>
      </c>
      <c r="D83" s="145"/>
      <c r="E83" s="145"/>
      <c r="F83" s="41">
        <f>OUTROS_INSUMOS</f>
        <v>44.99</v>
      </c>
    </row>
    <row r="84" spans="2:6" x14ac:dyDescent="0.3">
      <c r="B84" s="171" t="s">
        <v>43</v>
      </c>
      <c r="C84" s="171"/>
      <c r="D84" s="171"/>
      <c r="E84" s="171"/>
      <c r="F84" s="38">
        <f>SUM(F80:F83)</f>
        <v>213.79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37" t="s">
        <v>68</v>
      </c>
      <c r="C86" s="137"/>
      <c r="D86" s="137"/>
      <c r="E86" s="137"/>
      <c r="F86" s="137"/>
    </row>
    <row r="87" spans="2:6" x14ac:dyDescent="0.3">
      <c r="B87" s="1">
        <v>6</v>
      </c>
      <c r="C87" s="149" t="s">
        <v>22</v>
      </c>
      <c r="D87" s="149"/>
      <c r="E87" s="3" t="s">
        <v>1</v>
      </c>
      <c r="F87" s="3" t="s">
        <v>13</v>
      </c>
    </row>
    <row r="88" spans="2:6" x14ac:dyDescent="0.3">
      <c r="B88" s="1" t="s">
        <v>2</v>
      </c>
      <c r="C88" s="164" t="s">
        <v>70</v>
      </c>
      <c r="D88" s="164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266.88</v>
      </c>
    </row>
    <row r="89" spans="2:6" ht="15.75" customHeight="1" x14ac:dyDescent="0.3">
      <c r="B89" s="2" t="s">
        <v>3</v>
      </c>
      <c r="C89" s="162" t="s">
        <v>29</v>
      </c>
      <c r="D89" s="162"/>
      <c r="E89" s="42">
        <f>PERC_LUCRO</f>
        <v>5.57</v>
      </c>
      <c r="F89" s="31">
        <f>PERC_LUCRO%*(MOD_1_REMUNERACAO+MOD_2_ENCARGOS_BENEFICIOS+MOD_3_PROVISAO_RESCISAO+MOD_4_CUSTO_REPOSICAO+MOD_5_INSUMOS+AL_6_A_CUSTOS_INDIRETOS)</f>
        <v>329.14</v>
      </c>
    </row>
    <row r="90" spans="2:6" x14ac:dyDescent="0.3">
      <c r="B90" s="2" t="s">
        <v>4</v>
      </c>
      <c r="C90" s="164" t="s">
        <v>23</v>
      </c>
      <c r="D90" s="164"/>
      <c r="E90" s="52">
        <f>SUM(E91:E93)</f>
        <v>8.65</v>
      </c>
      <c r="F90" s="49">
        <f>SUM(F91:F93)</f>
        <v>590.71</v>
      </c>
    </row>
    <row r="91" spans="2:6" ht="15.75" customHeight="1" x14ac:dyDescent="0.3">
      <c r="B91" s="25" t="s">
        <v>71</v>
      </c>
      <c r="C91" s="169" t="s">
        <v>24</v>
      </c>
      <c r="D91" s="169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44.39</v>
      </c>
    </row>
    <row r="92" spans="2:6" x14ac:dyDescent="0.3">
      <c r="B92" s="25" t="s">
        <v>72</v>
      </c>
      <c r="C92" s="170" t="s">
        <v>25</v>
      </c>
      <c r="D92" s="170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204.87</v>
      </c>
    </row>
    <row r="93" spans="2:6" s="91" customFormat="1" x14ac:dyDescent="0.3">
      <c r="B93" s="25" t="s">
        <v>73</v>
      </c>
      <c r="C93" s="169" t="s">
        <v>26</v>
      </c>
      <c r="D93" s="169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341.45</v>
      </c>
    </row>
    <row r="94" spans="2:6" s="91" customFormat="1" x14ac:dyDescent="0.3">
      <c r="B94" s="140" t="s">
        <v>43</v>
      </c>
      <c r="C94" s="141"/>
      <c r="D94" s="141"/>
      <c r="E94" s="142"/>
      <c r="F94" s="32">
        <f>AL_6_A_CUSTOS_INDIRETOS+AL_6_B_LUCRO+AL_6_C_TRIBUTOS</f>
        <v>1186.73</v>
      </c>
    </row>
    <row r="95" spans="2:6" s="91" customFormat="1" ht="20.25" x14ac:dyDescent="0.3">
      <c r="B95" s="46" t="s">
        <v>50</v>
      </c>
      <c r="C95" s="9"/>
      <c r="D95" s="9"/>
      <c r="E95" s="9"/>
      <c r="F95" s="17"/>
    </row>
    <row r="96" spans="2:6" s="92" customFormat="1" ht="16.5" customHeight="1" x14ac:dyDescent="0.3">
      <c r="B96" s="2" t="s">
        <v>90</v>
      </c>
      <c r="C96" s="151" t="s">
        <v>91</v>
      </c>
      <c r="D96" s="152"/>
      <c r="E96" s="153"/>
      <c r="F96" s="3" t="s">
        <v>19</v>
      </c>
    </row>
    <row r="97" spans="2:6" s="91" customFormat="1" x14ac:dyDescent="0.3">
      <c r="B97" s="1">
        <v>1</v>
      </c>
      <c r="C97" s="164" t="s">
        <v>9</v>
      </c>
      <c r="D97" s="164"/>
      <c r="E97" s="164"/>
      <c r="F97" s="49">
        <f>MOD_1_REMUNERACAO</f>
        <v>2590</v>
      </c>
    </row>
    <row r="98" spans="2:6" s="93" customFormat="1" ht="16.5" customHeight="1" x14ac:dyDescent="0.3">
      <c r="B98" s="2">
        <v>2</v>
      </c>
      <c r="C98" s="162" t="s">
        <v>92</v>
      </c>
      <c r="D98" s="162"/>
      <c r="E98" s="162"/>
      <c r="F98" s="31">
        <f>MOD_2_ENCARGOS_BENEFICIOS</f>
        <v>2242.77</v>
      </c>
    </row>
    <row r="99" spans="2:6" s="93" customFormat="1" x14ac:dyDescent="0.3">
      <c r="B99" s="2">
        <v>3</v>
      </c>
      <c r="C99" s="164" t="s">
        <v>45</v>
      </c>
      <c r="D99" s="164"/>
      <c r="E99" s="164"/>
      <c r="F99" s="49">
        <f>MOD_3_PROVISAO_RESCISAO</f>
        <v>68.819999999999993</v>
      </c>
    </row>
    <row r="100" spans="2:6" s="93" customFormat="1" x14ac:dyDescent="0.3">
      <c r="B100" s="2">
        <v>4</v>
      </c>
      <c r="C100" s="162" t="s">
        <v>48</v>
      </c>
      <c r="D100" s="162"/>
      <c r="E100" s="162"/>
      <c r="F100" s="31">
        <f>MOD_4_CUSTO_REPOSICAO</f>
        <v>526.91999999999996</v>
      </c>
    </row>
    <row r="101" spans="2:6" s="93" customFormat="1" x14ac:dyDescent="0.3">
      <c r="B101" s="2">
        <v>5</v>
      </c>
      <c r="C101" s="164" t="s">
        <v>0</v>
      </c>
      <c r="D101" s="164"/>
      <c r="E101" s="164"/>
      <c r="F101" s="49">
        <f>MOD_5_INSUMOS</f>
        <v>213.79</v>
      </c>
    </row>
    <row r="102" spans="2:6" s="93" customFormat="1" x14ac:dyDescent="0.3">
      <c r="B102" s="2">
        <v>6</v>
      </c>
      <c r="C102" s="162" t="s">
        <v>22</v>
      </c>
      <c r="D102" s="162"/>
      <c r="E102" s="162"/>
      <c r="F102" s="31">
        <f>MOD_6_CUSTOS_IND_LUCRO_TRIB</f>
        <v>1186.73</v>
      </c>
    </row>
    <row r="103" spans="2:6" ht="16.5" customHeight="1" x14ac:dyDescent="0.3">
      <c r="B103" s="167" t="s">
        <v>93</v>
      </c>
      <c r="C103" s="167"/>
      <c r="D103" s="167"/>
      <c r="E103" s="167"/>
      <c r="F103" s="32">
        <f>SUM(F97:F102)</f>
        <v>6829.03</v>
      </c>
    </row>
    <row r="104" spans="2:6" ht="16.5" customHeight="1" x14ac:dyDescent="0.3">
      <c r="B104" s="167" t="s">
        <v>28</v>
      </c>
      <c r="C104" s="167"/>
      <c r="D104" s="167"/>
      <c r="E104" s="167"/>
      <c r="F104" s="32">
        <f>VALOR_TOTAL_EMPREGADO*EMPREG_POR_POSTO</f>
        <v>6829.03</v>
      </c>
    </row>
    <row r="105" spans="2:6" x14ac:dyDescent="0.3">
      <c r="B105" s="167" t="s">
        <v>153</v>
      </c>
      <c r="C105" s="167"/>
      <c r="D105" s="167"/>
      <c r="E105" s="167"/>
      <c r="F105" s="32">
        <f>VALOR_TOTAL_EMPREGADO*EMPREG_POR_POSTO*QTDE_POSTOS</f>
        <v>13658.06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105:E105"/>
    <mergeCell ref="C99:E99"/>
    <mergeCell ref="C100:E100"/>
    <mergeCell ref="C101:E101"/>
    <mergeCell ref="C102:E102"/>
    <mergeCell ref="B103:E103"/>
    <mergeCell ref="B104:E104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C1:F1 B13:F13 B4:F4 C3:F3 C2:E2 B10:F11 B9:D9 E9:F9 B12:E12 C17:F17 B14:D14 F14 B15:C15 E15:F15 C16 E16:F16 B8:F8 C6:F6 C5:F5 C7:F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09BF-DFE8-44D3-9C82-3D85DD12474F}">
  <dimension ref="A1"/>
  <sheetViews>
    <sheetView workbookViewId="0">
      <selection activeCell="C1" sqref="C1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123</vt:i4>
      </vt:variant>
    </vt:vector>
  </HeadingPairs>
  <TitlesOfParts>
    <vt:vector size="128" baseType="lpstr">
      <vt:lpstr>INSERÇÃO-DE-DADOS</vt:lpstr>
      <vt:lpstr>DADOS-ESTATISTICOS</vt:lpstr>
      <vt:lpstr>ENCARGOS-SOCIAIS-E-TRABALHISTAS</vt:lpstr>
      <vt:lpstr>POSTO 12x36 HORAS OU 44 HORAS</vt:lpstr>
      <vt:lpstr>Planilha1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Flavio Santos da Fonseca</cp:lastModifiedBy>
  <cp:lastPrinted>2019-08-28T14:06:04Z</cp:lastPrinted>
  <dcterms:created xsi:type="dcterms:W3CDTF">2014-02-07T18:14:59Z</dcterms:created>
  <dcterms:modified xsi:type="dcterms:W3CDTF">2020-11-26T19:52:32Z</dcterms:modified>
</cp:coreProperties>
</file>