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inesborges\Desktop\"/>
    </mc:Choice>
  </mc:AlternateContent>
  <xr:revisionPtr revIDLastSave="0" documentId="13_ncr:1_{CACBDDAD-1D8A-4D50-950E-209ACD19DABA}" xr6:coauthVersionLast="45" xr6:coauthVersionMax="45" xr10:uidLastSave="{00000000-0000-0000-0000-000000000000}"/>
  <bookViews>
    <workbookView xWindow="28680" yWindow="8130" windowWidth="21840" windowHeight="13140" tabRatio="899" activeTab="6" xr2:uid="{00000000-000D-0000-FFFF-FFFF00000000}"/>
  </bookViews>
  <sheets>
    <sheet name="INSERÇÃO-DE-DADOS" sheetId="11" r:id="rId1"/>
    <sheet name="DADOS-ESTATISTICOS" sheetId="15" r:id="rId2"/>
    <sheet name="ENCARGOS-SOCIAIS-E-TRABALHISTAS" sheetId="12" r:id="rId3"/>
    <sheet name="POSTO 12x36 HORAS OU 44 HORAS" sheetId="14" r:id="rId4"/>
    <sheet name="Uniforme" sheetId="16" r:id="rId5"/>
    <sheet name="Materiais" sheetId="17" r:id="rId6"/>
    <sheet name="Equipamentos" sheetId="18" r:id="rId7"/>
  </sheets>
  <definedNames>
    <definedName name="_xlnm._FilterDatabase" localSheetId="6" hidden="1">Equipamentos!$A$2:$M$2</definedName>
    <definedName name="_xlnm._FilterDatabase" localSheetId="5" hidden="1">Materiais!$C$2:$M$2</definedName>
    <definedName name="ACORDO_COLETIVO">'INSERÇÃO-DE-DADOS'!$F$14</definedName>
    <definedName name="AL_1_A_SAL_BASE" localSheetId="3">'POSTO 12x36 HORAS OU 44 HORAS'!$F$22</definedName>
    <definedName name="AL_1_B_ADIC_PERIC" localSheetId="3">'POSTO 12x36 HORAS OU 44 HORAS'!$F$23</definedName>
    <definedName name="AL_1_C_ADIC_NOT" localSheetId="3">'POSTO 12x36 HORAS OU 44 HORAS'!$F$24</definedName>
    <definedName name="AL_1_D_ADIC_NOT_RED" localSheetId="3">'POSTO 12x36 HORAS OU 44 HORAS'!$F$25</definedName>
    <definedName name="AL_2_1_A_DEC_TERC" localSheetId="3">'POSTO 12x36 HORAS OU 44 HORAS'!$F$34</definedName>
    <definedName name="AL_2_1_B_ADIC_FERIAS" localSheetId="3">'POSTO 12x36 HORAS OU 44 HORAS'!$F$35</definedName>
    <definedName name="AL_2_2_FGTS" localSheetId="3">'POSTO 12x36 HORAS OU 44 HORAS'!$F$46</definedName>
    <definedName name="AL_2_3_A_TRANSP" localSheetId="3">'POSTO 12x36 HORAS OU 44 HORAS'!$F$50</definedName>
    <definedName name="AL_2_3_B_AUX_ALIMENT" localSheetId="3">'POSTO 12x36 HORAS OU 44 HORAS'!$F$51</definedName>
    <definedName name="AL_2_3_C_OUTROS_BENEF" localSheetId="3">'POSTO 12x36 HORAS OU 44 HORAS'!$F$52</definedName>
    <definedName name="AL_2_A_ATE_2_G_GPS" localSheetId="3">'POSTO 12x36 HORAS OU 44 HORAS'!$F$39:$F$45</definedName>
    <definedName name="AL_6_A_CUSTOS_INDIRETOS" localSheetId="3">'POSTO 12x36 HORAS OU 44 HORAS'!$F$88</definedName>
    <definedName name="AL_6_B_LUCRO" localSheetId="3">'POSTO 12x36 HORAS OU 44 HORAS'!$F$89</definedName>
    <definedName name="AL_6_C_1_PIS" localSheetId="3">'POSTO 12x36 HORAS OU 44 HORAS'!$F$91</definedName>
    <definedName name="AL_6_C_2_COFINS" localSheetId="3">'POSTO 12x36 HORAS OU 44 HORAS'!$F$92</definedName>
    <definedName name="AL_6_C_3_ISS" localSheetId="3">'POSTO 12x36 HORAS OU 44 HORAS'!$F$93</definedName>
    <definedName name="AL_6_C_TRIBUTOS" localSheetId="3">'POSTO 12x36 HORAS OU 44 HORAS'!$F$90</definedName>
    <definedName name="ALIMENTACAO_POR_DIA">'INSERÇÃO-DE-DADOS'!$F$42</definedName>
    <definedName name="CATEGORIA_PROFISSIONAL">'INSERÇÃO-DE-DADOS'!$D$23</definedName>
    <definedName name="CBO">'INSERÇÃO-DE-DADOS'!$D$22</definedName>
    <definedName name="DATA_APRESENTACAO_PROPOSTA">'INSERÇÃO-DE-DADOS'!$F$11</definedName>
    <definedName name="DATA_BASE_CATEGORIA">'INSERÇÃO-DE-DADOS'!$F$24</definedName>
    <definedName name="DATA_DO_ORCAMENTO_ESTIMATIVO">'INSERÇÃO-DE-DADOS'!$F$2</definedName>
    <definedName name="DATA_LICITACAO">'INSERÇÃO-DE-DADOS'!$D$8</definedName>
    <definedName name="DIAS_AUSENCIAS_LEGAIS">'DADOS-ESTATISTICOS'!$F$27</definedName>
    <definedName name="DIAS_LICENCA_MATERNIDADE">'DADOS-ESTATISTICOS'!$F$33</definedName>
    <definedName name="DIAS_LICENCA_PATERNIDADE">'DADOS-ESTATISTICOS'!$F$28</definedName>
    <definedName name="DIAS_NA_SEMANA">'DADOS-ESTATISTICOS'!$F$5</definedName>
    <definedName name="DIAS_NO_ANO">'DADOS-ESTATISTICOS'!$F$6</definedName>
    <definedName name="DIAS_NO_MES">'DADOS-ESTATISTICOS'!$F$22</definedName>
    <definedName name="DIAS_PAGOS_EMPRESA_ACID_TRAB">'DADOS-ESTATISTICOS'!$F$32</definedName>
    <definedName name="DIAS_TRABALHADOS_NO_MES">'INSERÇÃO-DE-DADOS'!$F$43</definedName>
    <definedName name="DIVISOR_DE_HORAS">'DADOS-ESTATISTICOS'!$F$4</definedName>
    <definedName name="EMPREG_POR_POSTO">'INSERÇÃO-DE-DADOS'!$E$19</definedName>
    <definedName name="EQUIPAMENTOS">'INSERÇÃO-DE-DADOS'!$F$62</definedName>
    <definedName name="HORA_NORMAL">'DADOS-ESTATISTICOS'!$F$9</definedName>
    <definedName name="HORA_NOTURNA">'DADOS-ESTATISTICOS'!$F$10</definedName>
    <definedName name="HORARIO_LICITACAO">'INSERÇÃO-DE-DADOS'!$F$8</definedName>
    <definedName name="LOCAL_DE_EXECUCAO">'INSERÇÃO-DE-DADOS'!$D$12</definedName>
    <definedName name="MATERIAIS">'INSERÇÃO-DE-DADOS'!$F$61</definedName>
    <definedName name="MEDIA_ANUAL_DIAS_TRABALHO_MES">'DADOS-ESTATISTICOS'!$F$7</definedName>
    <definedName name="MESES_NO_ANO">'DADOS-ESTATISTICOS'!$F$8</definedName>
    <definedName name="MOD_1_REMUNERACAO" localSheetId="3">'POSTO 12x36 HORAS OU 44 HORAS'!$F$30</definedName>
    <definedName name="MOD_2_ENCARGOS_BENEFICIOS" localSheetId="3">'POSTO 12x36 HORAS OU 44 HORAS'!$F$36+'POSTO 12x36 HORAS OU 44 HORAS'!$F$47+'POSTO 12x36 HORAS OU 44 HORAS'!$F$55</definedName>
    <definedName name="MOD_3_PROVISAO_RESCISAO" localSheetId="3">'POSTO 12x36 HORAS OU 44 HORAS'!$F$61</definedName>
    <definedName name="MOD_4_CUSTO_REPOSICAO" localSheetId="3">'POSTO 12x36 HORAS OU 44 HORAS'!$F$72+'POSTO 12x36 HORAS OU 44 HORAS'!$F$76</definedName>
    <definedName name="MOD_5_INSUMOS" localSheetId="3">'POSTO 12x36 HORAS OU 44 HORAS'!$F$84</definedName>
    <definedName name="MOD_6_CUSTOS_IND_LUCRO_TRIB" localSheetId="3">'POSTO 12x36 HORAS OU 44 HORAS'!$F$94</definedName>
    <definedName name="MODALIDADE_DE_LICITACAO">'INSERÇÃO-DE-DADOS'!$D$7</definedName>
    <definedName name="NUMERO_MESES_EXEC_CONTRATUAL">'INSERÇÃO-DE-DADOS'!$F$15</definedName>
    <definedName name="NUMERO_PREGAO">'INSERÇÃO-DE-DADOS'!$F$7</definedName>
    <definedName name="NUMERO_PROCESSO">'INSERÇÃO-DE-DADOS'!$D$6</definedName>
    <definedName name="OUTRAS_AUSENCIAS">'ENCARGOS-SOCIAIS-E-TRABALHISTAS'!$E$31</definedName>
    <definedName name="OUTRAS_AUSENCIAS_DESCRICAO">'INSERÇÃO-DE-DADOS'!$C$51</definedName>
    <definedName name="OUTROS_BENEFICIOS_1">'INSERÇÃO-DE-DADOS'!$F$44</definedName>
    <definedName name="OUTROS_BENEFICIOS_1_DESCRICAO">'INSERÇÃO-DE-DADOS'!$C$44</definedName>
    <definedName name="OUTROS_BENEFICIOS_2">'INSERÇÃO-DE-DADOS'!$F$45</definedName>
    <definedName name="OUTROS_BENEFICIOS_2_DESCRICAO">'INSERÇÃO-DE-DADOS'!$C$45</definedName>
    <definedName name="OUTROS_BENEFICIOS_3">'INSERÇÃO-DE-DADOS'!$F$46</definedName>
    <definedName name="OUTROS_BENEFICIOS_3_DESCRICAO">'INSERÇÃO-DE-DADOS'!$C$46</definedName>
    <definedName name="OUTROS_INSUMOS">'INSERÇÃO-DE-DADOS'!$F$63</definedName>
    <definedName name="OUTROS_INSUMOS_DESCRICAO">'INSERÇÃO-DE-DADOS'!$C$63</definedName>
    <definedName name="OUTROS_REMUNERACAO_1">'INSERÇÃO-DE-DADOS'!$F$34</definedName>
    <definedName name="OUTROS_REMUNERACAO_1_DESCRICAO">'INSERÇÃO-DE-DADOS'!$C$34</definedName>
    <definedName name="OUTROS_REMUNERACAO_2">'INSERÇÃO-DE-DADOS'!$F$35</definedName>
    <definedName name="OUTROS_REMUNERACAO_2_DESCRICAO">'INSERÇÃO-DE-DADOS'!$C$35:$E$35</definedName>
    <definedName name="OUTROS_REMUNERACAO_3">'INSERÇÃO-DE-DADOS'!$F$36</definedName>
    <definedName name="OUTROS_REMUNERACAO_3_DESCRICAO">'INSERÇÃO-DE-DADOS'!$C$36:$E$36</definedName>
    <definedName name="PERC_ADIC_FERIAS">'ENCARGOS-SOCIAIS-E-TRABALHISTAS'!$E$6</definedName>
    <definedName name="PERC_ADIC_INS">'INSERÇÃO-DE-DADOS'!$F$33</definedName>
    <definedName name="PERC_ADIC_NOT">'INSERÇÃO-DE-DADOS'!$F$32</definedName>
    <definedName name="PERC_ADIC_PERIC">'INSERÇÃO-DE-DADOS'!$F$31</definedName>
    <definedName name="PERC_AVISO_PREVIO_IND">'ENCARGOS-SOCIAIS-E-TRABALHISTAS'!$E$20</definedName>
    <definedName name="PERC_AVISO_PREVIO_TRAB">'ENCARGOS-SOCIAIS-E-TRABALHISTAS'!$E$21</definedName>
    <definedName name="PERC_COFINS">'INSERÇÃO-DE-DADOS'!$F$70</definedName>
    <definedName name="PERC_CONTRIB_SOCIAL">'DADOS-ESTATISTICOS'!#REF!</definedName>
    <definedName name="PERC_CUSTOS_INDIRETOS">'INSERÇÃO-DE-DADOS'!$F$67</definedName>
    <definedName name="PERC_DEC_TERC">'ENCARGOS-SOCIAIS-E-TRABALHISTAS'!$E$5</definedName>
    <definedName name="PERC_DESC_TRANSP_REMUNERACAO">'DADOS-ESTATISTICOS'!$F$14</definedName>
    <definedName name="PERC_EMPREG_AFAST_TRAB">'DADOS-ESTATISTICOS'!$F$31</definedName>
    <definedName name="PERC_EMPREG_AVISO_PREVIO_IND">'DADOS-ESTATISTICOS'!$F$19</definedName>
    <definedName name="PERC_EMPREG_AVISO_PREVIO_TRAB">'DADOS-ESTATISTICOS'!$F$21</definedName>
    <definedName name="PERC_EMPREG_DEMIT_SEM_JUSTA_CAUSA_TOTAL_DESLIG">'DADOS-ESTATISTICOS'!$F$18</definedName>
    <definedName name="PERC_FGTS">'ENCARGOS-SOCIAIS-E-TRABALHISTAS'!$E$16</definedName>
    <definedName name="PERC_FGTS_AVISO_PREV_IND">'ENCARGOS-SOCIAIS-E-TRABALHISTAS'!#REF!</definedName>
    <definedName name="PERC_GPS_FGTS">'ENCARGOS-SOCIAIS-E-TRABALHISTAS'!$E$17</definedName>
    <definedName name="PERC_GPS_FGTS_AVISO_PREVIO_TRAB">'ENCARGOS-SOCIAIS-E-TRABALHISTAS'!#REF!</definedName>
    <definedName name="PERC_HORA_EXTRA">'INSERÇÃO-DE-DADOS'!$F$55</definedName>
    <definedName name="PERC_INCRA">'ENCARGOS-SOCIAIS-E-TRABALHISTAS'!$E$15</definedName>
    <definedName name="PERC_INSS">'ENCARGOS-SOCIAIS-E-TRABALHISTAS'!$E$9</definedName>
    <definedName name="PERC_ISS">'INSERÇÃO-DE-DADOS'!$F$71</definedName>
    <definedName name="PERC_LUCRO">'INSERÇÃO-DE-DADOS'!$F$68</definedName>
    <definedName name="PERC_MOD_3_PROVISAO_RESCISAO" localSheetId="3">'POSTO 12x36 HORAS OU 44 HORAS'!$E$61</definedName>
    <definedName name="PERC_MULTA_FGTS">'DADOS-ESTATISTICOS'!$F$20</definedName>
    <definedName name="PERC_MULTA_FGTS_AV_PREV_IND">'ENCARGOS-SOCIAIS-E-TRABALHISTAS'!#REF!</definedName>
    <definedName name="PERC_MULTA_FGTS_AV_PREV_TRAB">'ENCARGOS-SOCIAIS-E-TRABALHISTAS'!$E$22</definedName>
    <definedName name="PERC_NASCIDOS_VIVOS_POPUL_FEM">'DADOS-ESTATISTICOS'!$F$29</definedName>
    <definedName name="PERC_PARTIC_FEM_VIGIL">'DADOS-ESTATISTICOS'!$F$34</definedName>
    <definedName name="PERC_PARTIC_MASC_VIGIL">'DADOS-ESTATISTICOS'!$F$30</definedName>
    <definedName name="PERC_PIS">'INSERÇÃO-DE-DADOS'!$F$69</definedName>
    <definedName name="PERC_RAT">'ENCARGOS-SOCIAIS-E-TRABALHISTAS'!$E$11</definedName>
    <definedName name="PERC_SAL_EDUCACAO">'ENCARGOS-SOCIAIS-E-TRABALHISTAS'!$E$10</definedName>
    <definedName name="PERC_SEBRAE">'ENCARGOS-SOCIAIS-E-TRABALHISTAS'!$E$14</definedName>
    <definedName name="PERC_SENAC">'ENCARGOS-SOCIAIS-E-TRABALHISTAS'!$E$13</definedName>
    <definedName name="PERC_SESC">'ENCARGOS-SOCIAIS-E-TRABALHISTAS'!$E$12</definedName>
    <definedName name="PERC_SUBSTITUTO_ACID_TRAB">'ENCARGOS-SOCIAIS-E-TRABALHISTAS'!$E$29</definedName>
    <definedName name="PERC_SUBSTITUTO_AFAST_MATERN">'ENCARGOS-SOCIAIS-E-TRABALHISTAS'!$E$30</definedName>
    <definedName name="PERC_SUBSTITUTO_AUSENCIAS_LEGAIS">'ENCARGOS-SOCIAIS-E-TRABALHISTAS'!$E$27</definedName>
    <definedName name="PERC_SUBSTITUTO_FERIAS">'ENCARGOS-SOCIAIS-E-TRABALHISTAS'!$E$26</definedName>
    <definedName name="PERC_SUBSTITUTO_LICENCA_PATERNIDADE">'ENCARGOS-SOCIAIS-E-TRABALHISTAS'!$E$28</definedName>
    <definedName name="PERC_SUBSTITUTO_OUTRAS_AUSENCIAS">'INSERÇÃO-DE-DADOS'!$F$51</definedName>
    <definedName name="PERC_TRIBUTOS" localSheetId="3">'POSTO 12x36 HORAS OU 44 HORAS'!$E$90</definedName>
    <definedName name="QTDE_POSTOS" localSheetId="3">'INSERÇÃO-DE-DADOS'!$F$19</definedName>
    <definedName name="RAMO">'INSERÇÃO-DE-DADOS'!$B$1</definedName>
    <definedName name="SAL_MINIMO">'INSERÇÃO-DE-DADOS'!$F$25</definedName>
    <definedName name="SALARIO_BASE">'INSERÇÃO-DE-DADOS'!$F$30</definedName>
    <definedName name="SUBMOD_2_1_DEC_TERC_ADIC_FERIAS" localSheetId="3">'POSTO 12x36 HORAS OU 44 HORAS'!$F$36</definedName>
    <definedName name="SUBMOD_2_2_GPS_FGTS" localSheetId="3">'POSTO 12x36 HORAS OU 44 HORAS'!$F$47</definedName>
    <definedName name="SUBMOD_2_3_BENEFICIOS" localSheetId="3">'POSTO 12x36 HORAS OU 44 HORAS'!$F$55</definedName>
    <definedName name="SUBMOD_4_1_SUBSTITUTO" localSheetId="3">'POSTO 12x36 HORAS OU 44 HORAS'!$F$72</definedName>
    <definedName name="SUBMOD_4_2_INTRAJORNADA" localSheetId="3">'POSTO 12x36 HORAS OU 44 HORAS'!$F$76</definedName>
    <definedName name="TEMPO_INTERVALO_REFEICAO">'INSERÇÃO-DE-DADOS'!$F$56</definedName>
    <definedName name="TIPO_DE_SERVICO">'INSERÇÃO-DE-DADOS'!$C$19</definedName>
    <definedName name="TRANSPORTE_POR_DIA">'INSERÇÃO-DE-DADOS'!$F$41</definedName>
    <definedName name="UG">'INSERÇÃO-DE-DADOS'!$B$2</definedName>
    <definedName name="UNIFORMES">'INSERÇÃO-DE-DADOS'!$F$60</definedName>
    <definedName name="VALOR_TOTAL_EMPREGADO" localSheetId="3">'POSTO 12x36 HORAS OU 44 HORAS'!$F$103</definedName>
    <definedName name="VALOR_TOTAL_POSTO" localSheetId="3">'POSTO 12x36 HORAS OU 44 HORAS'!$F$104</definedName>
  </definedNames>
  <calcPr calcId="191029" fullPrecision="0"/>
  <customWorkbookViews>
    <customWorkbookView name="teste" guid="{E22B0E03-E710-4313-B9E5-0BFE52A7E677}" maximized="1" xWindow="-8" yWindow="-8" windowWidth="1936" windowHeight="1056" tabRatio="899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17" l="1"/>
  <c r="J51" i="17" l="1"/>
  <c r="L51" i="17" s="1"/>
  <c r="K14" i="17" l="1"/>
  <c r="L14" i="17" s="1"/>
  <c r="K34" i="17"/>
  <c r="L34" i="17" s="1"/>
  <c r="K33" i="17"/>
  <c r="L33" i="17" s="1"/>
  <c r="K32" i="17"/>
  <c r="L32" i="17" s="1"/>
  <c r="K24" i="17"/>
  <c r="L24" i="17" s="1"/>
  <c r="K9" i="17"/>
  <c r="K10" i="17"/>
  <c r="L10" i="17" s="1"/>
  <c r="K26" i="17"/>
  <c r="L26" i="17" s="1"/>
  <c r="K11" i="17"/>
  <c r="K4" i="17"/>
  <c r="L4" i="17" s="1"/>
  <c r="L9" i="17" l="1"/>
  <c r="L11" i="17"/>
  <c r="J42" i="17" l="1"/>
  <c r="J43" i="17"/>
  <c r="I42" i="17"/>
  <c r="I43" i="17"/>
  <c r="H42" i="17"/>
  <c r="H43" i="17"/>
  <c r="K7" i="18" l="1"/>
  <c r="K5" i="18"/>
  <c r="K6" i="18"/>
  <c r="K8" i="18"/>
  <c r="K4" i="18"/>
  <c r="K3" i="18"/>
  <c r="L3" i="18" s="1"/>
  <c r="K44" i="17"/>
  <c r="L44" i="17" s="1"/>
  <c r="K17" i="17"/>
  <c r="L17" i="17" s="1"/>
  <c r="K22" i="17"/>
  <c r="L22" i="17" s="1"/>
  <c r="K13" i="17"/>
  <c r="L13" i="17" s="1"/>
  <c r="D12" i="18" l="1"/>
  <c r="L6" i="18"/>
  <c r="L5" i="18"/>
  <c r="D13" i="18" s="1"/>
  <c r="L4" i="18"/>
  <c r="D15" i="18" s="1"/>
  <c r="L8" i="18"/>
  <c r="D14" i="18" s="1"/>
  <c r="L7" i="18"/>
  <c r="K18" i="17"/>
  <c r="L18" i="17" s="1"/>
  <c r="K25" i="17"/>
  <c r="L25" i="17" s="1"/>
  <c r="K20" i="17"/>
  <c r="L20" i="17" s="1"/>
  <c r="K21" i="17"/>
  <c r="L21" i="17" s="1"/>
  <c r="K31" i="17"/>
  <c r="L31" i="17" s="1"/>
  <c r="K39" i="17"/>
  <c r="L39" i="17" s="1"/>
  <c r="K40" i="17"/>
  <c r="L40" i="17" s="1"/>
  <c r="K28" i="17"/>
  <c r="L28" i="17" s="1"/>
  <c r="K7" i="17"/>
  <c r="L7" i="17" s="1"/>
  <c r="K29" i="17"/>
  <c r="L29" i="17" s="1"/>
  <c r="K41" i="17"/>
  <c r="L41" i="17" s="1"/>
  <c r="K45" i="17"/>
  <c r="L45" i="17" s="1"/>
  <c r="K35" i="17"/>
  <c r="L35" i="17" s="1"/>
  <c r="K8" i="17"/>
  <c r="L8" i="17" s="1"/>
  <c r="K36" i="17"/>
  <c r="L36" i="17" s="1"/>
  <c r="K30" i="17"/>
  <c r="L30" i="17" s="1"/>
  <c r="K37" i="17"/>
  <c r="L37" i="17" s="1"/>
  <c r="K38" i="17"/>
  <c r="L38" i="17" s="1"/>
  <c r="K27" i="17"/>
  <c r="L27" i="17" s="1"/>
  <c r="K19" i="17"/>
  <c r="L19" i="17" s="1"/>
  <c r="K3" i="17"/>
  <c r="L3" i="17" s="1"/>
  <c r="K5" i="17"/>
  <c r="L5" i="17" s="1"/>
  <c r="K12" i="17"/>
  <c r="L12" i="17" s="1"/>
  <c r="K16" i="17"/>
  <c r="L16" i="17" s="1"/>
  <c r="K15" i="17"/>
  <c r="L15" i="17" s="1"/>
  <c r="K23" i="17"/>
  <c r="L23" i="17" s="1"/>
  <c r="K6" i="17"/>
  <c r="L6" i="17" s="1"/>
  <c r="F13" i="18" l="1"/>
  <c r="F14" i="18"/>
  <c r="F15" i="18"/>
  <c r="F12" i="18"/>
  <c r="J49" i="17"/>
  <c r="L49" i="17" s="1"/>
  <c r="K42" i="17"/>
  <c r="L42" i="17" s="1"/>
  <c r="J50" i="17" s="1"/>
  <c r="L50" i="17" s="1"/>
  <c r="F61" i="11" s="1"/>
  <c r="K43" i="17"/>
  <c r="L43" i="17" s="1"/>
  <c r="G13" i="18" l="1"/>
  <c r="F62" i="11"/>
  <c r="G14" i="18"/>
  <c r="G12" i="18"/>
  <c r="I6" i="16"/>
  <c r="J6" i="16" s="1"/>
  <c r="K6" i="16" s="1"/>
  <c r="I7" i="16"/>
  <c r="J7" i="16" s="1"/>
  <c r="K7" i="16" s="1"/>
  <c r="I8" i="16"/>
  <c r="J8" i="16" s="1"/>
  <c r="K8" i="16" s="1"/>
  <c r="I9" i="16"/>
  <c r="J9" i="16" s="1"/>
  <c r="K9" i="16" s="1"/>
  <c r="I10" i="16"/>
  <c r="J10" i="16" s="1"/>
  <c r="K10" i="16" s="1"/>
  <c r="I13" i="16"/>
  <c r="J13" i="16" s="1"/>
  <c r="K13" i="16" s="1"/>
  <c r="I14" i="16"/>
  <c r="J14" i="16" s="1"/>
  <c r="K14" i="16" s="1"/>
  <c r="I15" i="16"/>
  <c r="J15" i="16" s="1"/>
  <c r="K15" i="16" s="1"/>
  <c r="I16" i="16"/>
  <c r="J16" i="16" s="1"/>
  <c r="K16" i="16" s="1"/>
  <c r="I17" i="16"/>
  <c r="J17" i="16" s="1"/>
  <c r="K17" i="16" s="1"/>
  <c r="I20" i="16"/>
  <c r="J20" i="16" s="1"/>
  <c r="K20" i="16" s="1"/>
  <c r="I21" i="16"/>
  <c r="J21" i="16" s="1"/>
  <c r="K21" i="16" s="1"/>
  <c r="I22" i="16"/>
  <c r="J22" i="16" s="1"/>
  <c r="K22" i="16" s="1"/>
  <c r="I23" i="16"/>
  <c r="J23" i="16" s="1"/>
  <c r="K23" i="16" s="1"/>
  <c r="I24" i="16"/>
  <c r="J24" i="16" s="1"/>
  <c r="K24" i="16" s="1"/>
  <c r="I25" i="16"/>
  <c r="J25" i="16" s="1"/>
  <c r="K25" i="16" s="1"/>
  <c r="I26" i="16"/>
  <c r="J26" i="16" s="1"/>
  <c r="K26" i="16" s="1"/>
  <c r="I5" i="16"/>
  <c r="J5" i="16" s="1"/>
  <c r="K5" i="16" s="1"/>
  <c r="I4" i="16"/>
  <c r="J4" i="16" s="1"/>
  <c r="K4" i="16" s="1"/>
  <c r="K18" i="16" l="1"/>
  <c r="K27" i="16"/>
  <c r="F60" i="11" s="1"/>
  <c r="K11" i="16"/>
  <c r="F39" i="15" l="1"/>
  <c r="F12" i="14" l="1"/>
  <c r="F31" i="15" l="1"/>
  <c r="F19" i="14" l="1"/>
  <c r="D16" i="14"/>
  <c r="D15" i="14"/>
  <c r="E14" i="14"/>
  <c r="D9" i="14"/>
  <c r="F2" i="14" l="1"/>
  <c r="E31" i="12" l="1"/>
  <c r="C31" i="12"/>
  <c r="F26" i="14" l="1"/>
  <c r="E93" i="14" l="1"/>
  <c r="E92" i="14"/>
  <c r="E91" i="14"/>
  <c r="E89" i="14"/>
  <c r="E88" i="14"/>
  <c r="F83" i="14"/>
  <c r="C83" i="14"/>
  <c r="F82" i="14"/>
  <c r="F81" i="14"/>
  <c r="F80" i="14"/>
  <c r="E71" i="14"/>
  <c r="C71" i="14"/>
  <c r="F54" i="14"/>
  <c r="C54" i="14"/>
  <c r="F53" i="14"/>
  <c r="C53" i="14"/>
  <c r="F52" i="14"/>
  <c r="C52" i="14"/>
  <c r="F51" i="14"/>
  <c r="E45" i="14"/>
  <c r="E44" i="14"/>
  <c r="E43" i="14"/>
  <c r="E42" i="14"/>
  <c r="E41" i="14"/>
  <c r="E40" i="14"/>
  <c r="E39" i="14"/>
  <c r="F29" i="14"/>
  <c r="C29" i="14"/>
  <c r="F28" i="14"/>
  <c r="C28" i="14"/>
  <c r="F27" i="14"/>
  <c r="C27" i="14"/>
  <c r="F23" i="14"/>
  <c r="F22" i="14"/>
  <c r="F50" i="14" s="1"/>
  <c r="F17" i="14"/>
  <c r="F11" i="14"/>
  <c r="F10" i="14"/>
  <c r="F8" i="14"/>
  <c r="F6" i="14"/>
  <c r="D6" i="14"/>
  <c r="D5" i="14"/>
  <c r="B2" i="14"/>
  <c r="B1" i="14"/>
  <c r="E90" i="14" l="1"/>
  <c r="F55" i="14"/>
  <c r="F24" i="14"/>
  <c r="F84" i="14"/>
  <c r="F101" i="14" s="1"/>
  <c r="F25" i="14"/>
  <c r="F30" i="14" l="1"/>
  <c r="F97" i="14" l="1"/>
  <c r="E5" i="12" l="1"/>
  <c r="E6" i="12"/>
  <c r="E20" i="12"/>
  <c r="E21" i="12"/>
  <c r="E22" i="12" s="1"/>
  <c r="E26" i="12"/>
  <c r="E27" i="12"/>
  <c r="E28" i="12"/>
  <c r="E29" i="12"/>
  <c r="E69" i="11"/>
  <c r="E70" i="11"/>
  <c r="E71" i="11"/>
  <c r="E69" i="14" l="1"/>
  <c r="E59" i="14"/>
  <c r="E67" i="14"/>
  <c r="E58" i="14"/>
  <c r="E68" i="14"/>
  <c r="E35" i="14"/>
  <c r="F35" i="14"/>
  <c r="E66" i="14"/>
  <c r="E34" i="14"/>
  <c r="F34" i="14"/>
  <c r="F36" i="14" l="1"/>
  <c r="F42" i="14" s="1"/>
  <c r="F40" i="14" l="1"/>
  <c r="F43" i="14"/>
  <c r="F44" i="14"/>
  <c r="F45" i="14"/>
  <c r="F39" i="14"/>
  <c r="F41" i="14"/>
  <c r="F75" i="14" l="1"/>
  <c r="F76" i="14" s="1"/>
  <c r="E46" i="14" l="1"/>
  <c r="F60" i="14"/>
  <c r="E17" i="12"/>
  <c r="F46" i="14"/>
  <c r="F47" i="14" s="1"/>
  <c r="E30" i="12" l="1"/>
  <c r="E70" i="14" s="1"/>
  <c r="F98" i="14"/>
  <c r="F59" i="14"/>
  <c r="F58" i="14"/>
  <c r="E60" i="14"/>
  <c r="F61" i="14" l="1"/>
  <c r="F99" i="14" s="1"/>
  <c r="F70" i="14" l="1"/>
  <c r="F71" i="14"/>
  <c r="F66" i="14"/>
  <c r="F69" i="14"/>
  <c r="F68" i="14"/>
  <c r="F67" i="14"/>
  <c r="F72" i="14" l="1"/>
  <c r="F100" i="14" s="1"/>
  <c r="F88" i="14" l="1"/>
  <c r="F89" i="14" s="1"/>
  <c r="F91" i="14" s="1"/>
  <c r="F93" i="14" l="1"/>
  <c r="F92" i="14"/>
  <c r="F90" i="14" l="1"/>
  <c r="F94" i="14" s="1"/>
  <c r="F102" i="14" s="1"/>
  <c r="F103" i="14" s="1"/>
  <c r="F104" i="14" s="1"/>
  <c r="F105" i="14" l="1"/>
  <c r="F38" i="15" l="1"/>
</calcChain>
</file>

<file path=xl/sharedStrings.xml><?xml version="1.0" encoding="utf-8"?>
<sst xmlns="http://schemas.openxmlformats.org/spreadsheetml/2006/main" count="725" uniqueCount="325">
  <si>
    <t>Insumos Diversos</t>
  </si>
  <si>
    <t>%</t>
  </si>
  <si>
    <t>A</t>
  </si>
  <si>
    <t>B</t>
  </si>
  <si>
    <t>C</t>
  </si>
  <si>
    <t>D</t>
  </si>
  <si>
    <t>E</t>
  </si>
  <si>
    <t>F</t>
  </si>
  <si>
    <t>MÓDULO 1: COMPOSIÇÃO DA REMUNERAÇÃO</t>
  </si>
  <si>
    <t>Composição da Remuneração</t>
  </si>
  <si>
    <t>G</t>
  </si>
  <si>
    <t>H</t>
  </si>
  <si>
    <t>I</t>
  </si>
  <si>
    <t>Valor (R$)</t>
  </si>
  <si>
    <t>Benefícios Mensais e Diários</t>
  </si>
  <si>
    <t>Transporte</t>
  </si>
  <si>
    <t>Uniformes</t>
  </si>
  <si>
    <t>Equipamentos</t>
  </si>
  <si>
    <t>Materiais</t>
  </si>
  <si>
    <t>Valor    (R$)</t>
  </si>
  <si>
    <t>4.1</t>
  </si>
  <si>
    <t>4.2</t>
  </si>
  <si>
    <t>Custos Indiretos, Tributos e Lucro</t>
  </si>
  <si>
    <t>Tributos</t>
  </si>
  <si>
    <t>PIS</t>
  </si>
  <si>
    <t>Cofins</t>
  </si>
  <si>
    <t>ISS</t>
  </si>
  <si>
    <t>Tipo de Serviço</t>
  </si>
  <si>
    <t>VALOR TOTAL POR POSTO</t>
  </si>
  <si>
    <t>Lucro</t>
  </si>
  <si>
    <t>Nº do Processo (X.XX.XXX.XXXXXX/XXXX-XX)</t>
  </si>
  <si>
    <t>Modalidade de Licitação nº (XX/AAAA)</t>
  </si>
  <si>
    <t>Pregão nº</t>
  </si>
  <si>
    <t>Local de Execução (Sede, Anexo I ou II, PTM, PRM)</t>
  </si>
  <si>
    <t>Acordo, Conv. ou Sentença Normativa em Dissídio Coletivo (MM/AAAA)</t>
  </si>
  <si>
    <t>Frequência</t>
  </si>
  <si>
    <t>Diária</t>
  </si>
  <si>
    <t>PLANILHA DE CUSTOS E FORMAÇÃO DE PREÇOS</t>
  </si>
  <si>
    <t>INSS</t>
  </si>
  <si>
    <t>INCRA</t>
  </si>
  <si>
    <t>Salário Educação</t>
  </si>
  <si>
    <t>FGTS</t>
  </si>
  <si>
    <t>SEBRAE</t>
  </si>
  <si>
    <t>TOTAL</t>
  </si>
  <si>
    <t>13º Salário</t>
  </si>
  <si>
    <t>Provisão para Rescisão</t>
  </si>
  <si>
    <t>Aviso Prévio Indenizado</t>
  </si>
  <si>
    <t>Aviso Prévio Trabalhado</t>
  </si>
  <si>
    <t>Custo de Reposição do Profissional Ausente</t>
  </si>
  <si>
    <t>EMPREGADOS POR POSTO</t>
  </si>
  <si>
    <t>QUADRO RESUMO - CUSTO POR EMPREGADO</t>
  </si>
  <si>
    <t>DATA:</t>
  </si>
  <si>
    <t>DISCRIMINAÇÃO DOS SERVIÇOS (DADOS REFERENTES À CONTRATAÇÃO)</t>
  </si>
  <si>
    <t>Classificação Brasileira de Ocupações (CBO)</t>
  </si>
  <si>
    <t>Tipo de Serviço (mesmo serviço com características distintas)</t>
  </si>
  <si>
    <t>Categoria Profissional (vinculada à execução contratual)</t>
  </si>
  <si>
    <t>Data-Base da Categoria (DD/MM/AAAA)</t>
  </si>
  <si>
    <t>Data de Apresentação da Proposta (DD/MM/AAAA)</t>
  </si>
  <si>
    <t>Número de Meses de Execução Contratual</t>
  </si>
  <si>
    <t>MÓDULO 2: ENCARGOS E BENEFÍCIOS ANUAIS, MENSAIS E DIÁRIOS</t>
  </si>
  <si>
    <t>2.1</t>
  </si>
  <si>
    <t>Submódulo 2.2 - Encargos Previdencários (GPS), Fundo de Garantia por Tempo de Serviço (FGTS) e Outras Contribuições</t>
  </si>
  <si>
    <t>2.2</t>
  </si>
  <si>
    <t>Auxílio-Refeição/Alimentação</t>
  </si>
  <si>
    <t>Submódulo 2.3 - Benefícios Mensais e Diários</t>
  </si>
  <si>
    <t>MÓDULO 3: PROVISÃO PARA RESCISÃO</t>
  </si>
  <si>
    <t>MÓDULO 4: CUSTO DE REPOSIÇÃO DO PROFISSIONAL AUSENTE</t>
  </si>
  <si>
    <t>Submódulo 4.2 - Intrajornada</t>
  </si>
  <si>
    <t>Intrajornada</t>
  </si>
  <si>
    <t>MÓDULO 6: CUSTOS INDIRETOS, TRIBUTOS E LUCRO</t>
  </si>
  <si>
    <t>MÓDULO 5: INSUMOS DIVERSOS</t>
  </si>
  <si>
    <t>Custos Indiretos</t>
  </si>
  <si>
    <t>C.1</t>
  </si>
  <si>
    <t>C.2</t>
  </si>
  <si>
    <t>C.3</t>
  </si>
  <si>
    <t>Adicional de Periculosidade (em %)</t>
  </si>
  <si>
    <t>Adicional Noturno</t>
  </si>
  <si>
    <t>Adicional Noturno (em %)</t>
  </si>
  <si>
    <t>Quantidade de Postos</t>
  </si>
  <si>
    <t>Outros (Especificar)</t>
  </si>
  <si>
    <t>Adicional de Hora Noturna Reduzida (em %)</t>
  </si>
  <si>
    <t>SESC</t>
  </si>
  <si>
    <t>SENAC</t>
  </si>
  <si>
    <t>Riscos Ambientas do Trabalho</t>
  </si>
  <si>
    <t>2.3</t>
  </si>
  <si>
    <t>Salário-Base (em R$)</t>
  </si>
  <si>
    <t>Salário-Base</t>
  </si>
  <si>
    <t>13º Salário e Adicional de Férias</t>
  </si>
  <si>
    <t>Adicional de Periculosidade</t>
  </si>
  <si>
    <t>Adicional de Férias</t>
  </si>
  <si>
    <t>Encargos Previdenciários (GPS), Fundo de Garantia por Tempo de Serviço (FGTS) e outras contribuições</t>
  </si>
  <si>
    <t>Dados referentes à licitação</t>
  </si>
  <si>
    <t>MÓD.</t>
  </si>
  <si>
    <t>Mão-de-obra vinculada à execução contratual (valor por empregado)</t>
  </si>
  <si>
    <t>Encargos e Benefícios Anuais, Mensais e Diários</t>
  </si>
  <si>
    <t>VALOR TOTAL DO EMPREGADO</t>
  </si>
  <si>
    <t>Submódulo 4.1 - Substituto nas Ausências Legais</t>
  </si>
  <si>
    <t>Substituto nas Ausências Legais</t>
  </si>
  <si>
    <t xml:space="preserve">Substituto na Cobertura de Férias </t>
  </si>
  <si>
    <t>Substituto na Cobertura de Ausências Legais</t>
  </si>
  <si>
    <t>Substituto na Cobertura de Licença-Paternidade</t>
  </si>
  <si>
    <t>Substituto na Cobertura de Ausência por Acidente de Trabalho</t>
  </si>
  <si>
    <t>Substituto na Cobertura de Afastamento Maternidade</t>
  </si>
  <si>
    <t>Substituto na Cobertura de Intervalo para Repouso e Alimentação</t>
  </si>
  <si>
    <t>Submódulo 2.1 - 13º (décimo terceiro) Salário e Adicional de Férias</t>
  </si>
  <si>
    <t>Dados referentes à contratação</t>
  </si>
  <si>
    <t>Data / Horário</t>
  </si>
  <si>
    <t>Identificação do serviço</t>
  </si>
  <si>
    <t>Unidade de Medida</t>
  </si>
  <si>
    <t>Qtde Total a Contratar</t>
  </si>
  <si>
    <t>Mão de obra</t>
  </si>
  <si>
    <t>Dias no Ano</t>
  </si>
  <si>
    <t>Dias na Semana</t>
  </si>
  <si>
    <t>Hora Normal (em minutos)</t>
  </si>
  <si>
    <t>Hora Noturna (em minutos)</t>
  </si>
  <si>
    <t>Valor / %</t>
  </si>
  <si>
    <t>Valor (em R$)</t>
  </si>
  <si>
    <t>J</t>
  </si>
  <si>
    <t>Divisor de Horas (em horas)</t>
  </si>
  <si>
    <t xml:space="preserve">Meses no Ano </t>
  </si>
  <si>
    <t>Hora Extra (em %)</t>
  </si>
  <si>
    <t>Empregados que recebem aviso prévio indenizado (em %)</t>
  </si>
  <si>
    <t>Multa do FGTS (em %)</t>
  </si>
  <si>
    <t>Empregados que recebem aviso prévio trabalhado (em %)</t>
  </si>
  <si>
    <t>K</t>
  </si>
  <si>
    <t>L</t>
  </si>
  <si>
    <t>Dias de Ausências Legais</t>
  </si>
  <si>
    <t>Dias de Licença-Paternidade</t>
  </si>
  <si>
    <t>Nascidos Vivos / População Feminina (em %)</t>
  </si>
  <si>
    <t>Tempo de Intervalo para Refeição (em minutos)</t>
  </si>
  <si>
    <t>Empregados afastados por acidente de trabalho (em %)</t>
  </si>
  <si>
    <t>Dias de Licença-Maternidade</t>
  </si>
  <si>
    <t>Pessoas demitidas sem justa causa / Total de desligamentos (em %)</t>
  </si>
  <si>
    <t>Salário Mínimo vigente no país (em R$)</t>
  </si>
  <si>
    <t>Dias no mês</t>
  </si>
  <si>
    <t>Dias pagos pela empresa em acidentes de trabalho</t>
  </si>
  <si>
    <t>Mensal</t>
  </si>
  <si>
    <t>Média Anual de Dias Trabalhados no Mês</t>
  </si>
  <si>
    <t>Desconto Remuneração Transporte</t>
  </si>
  <si>
    <t>Unidade da Federação</t>
  </si>
  <si>
    <t>Item</t>
  </si>
  <si>
    <t>Outras Remunerações 1 (Especificar)</t>
  </si>
  <si>
    <t>Outras Remunerações 2 (Especificar)</t>
  </si>
  <si>
    <t>Outras Remunerações 3 (Especificar)</t>
  </si>
  <si>
    <t>Outros Benefícios 3 (Especificar)</t>
  </si>
  <si>
    <t>RAMO:</t>
  </si>
  <si>
    <t>UNIDADE GESTORA (SIGLA):</t>
  </si>
  <si>
    <t>XX/XX/20XX</t>
  </si>
  <si>
    <t>XX/20XX</t>
  </si>
  <si>
    <t>HH:MM</t>
  </si>
  <si>
    <t>Outras Ausências (Especificar - em %)</t>
  </si>
  <si>
    <t>OBSERVAÇÃO</t>
  </si>
  <si>
    <t>CUSTOS POR EMPREGADO</t>
  </si>
  <si>
    <t>Adicional de Insalubridade (em %)</t>
  </si>
  <si>
    <t>Adicional de Insalubridade</t>
  </si>
  <si>
    <t>Dias Trabalhados no mês (15 dias intercalados ou 22 dias úteis)</t>
  </si>
  <si>
    <t>VALOR TOTAL DA CATEGORIA</t>
  </si>
  <si>
    <t>CUSTOS REFERENTES AO POSTO</t>
  </si>
  <si>
    <t>CUSTOS REFERENTES AOS SERVIÇOS CONTRATADOS</t>
  </si>
  <si>
    <t>Empregados por Posto</t>
  </si>
  <si>
    <t>DADOS ESTATÍSTICOS</t>
  </si>
  <si>
    <t>ENCARGOS SOCIAIS E TRABALHISTAS</t>
  </si>
  <si>
    <t>Memória de Cálculo</t>
  </si>
  <si>
    <t>(1/12) x 100</t>
  </si>
  <si>
    <t>[(1/3)/12] x 100</t>
  </si>
  <si>
    <t>[(62,93%) x 5,55% x (1/12)] x 100</t>
  </si>
  <si>
    <t xml:space="preserve">(1/12) x 100 </t>
  </si>
  <si>
    <t>[(8/30)/12] x 100</t>
  </si>
  <si>
    <t>[(15/30)/12] x 0,44%} x 100</t>
  </si>
  <si>
    <t>[(62,93%) x 94,45% x (7/30)/12] x 100</t>
  </si>
  <si>
    <t>Participação Masculina(em %)</t>
  </si>
  <si>
    <t>Participação Feminina (em %)</t>
  </si>
  <si>
    <t>{[(20/30)/12] x 1,416% x 45,22%} x 100</t>
  </si>
  <si>
    <t>{[(180/30)/12] x 1,416% x 54,78% x 36,80%} x 100</t>
  </si>
  <si>
    <t>% / Minutos</t>
  </si>
  <si>
    <t>Para mais informações, consulte o Referencial Técnico de Custos, constante da aba PUBLICAÇÕES, na página da Auditoria Interna do MPU na internet (www.auditoria.mpu.mp.br).</t>
  </si>
  <si>
    <t>Nº do Processo</t>
  </si>
  <si>
    <t>Modalidade de Licitação</t>
  </si>
  <si>
    <t>Substituto na Intrajornada</t>
  </si>
  <si>
    <t>Submódulo 4.2 - Substituto na Intrajornada</t>
  </si>
  <si>
    <t>Dias / Horas / Minutos</t>
  </si>
  <si>
    <t>Dias / %</t>
  </si>
  <si>
    <t>Minutos / %</t>
  </si>
  <si>
    <t>1,16% x 40%  x 8,00% x 100</t>
  </si>
  <si>
    <t>Multa do FGTS sobre o Aviso Prévio Trabalhado</t>
  </si>
  <si>
    <t>Preço 1</t>
  </si>
  <si>
    <t>Preço 2</t>
  </si>
  <si>
    <t>Preço 3</t>
  </si>
  <si>
    <t>Calça social com dois bolsos, em tecido com elastano, na cor preta e com costura reforçada</t>
  </si>
  <si>
    <t>Camiseta gola polo com manga curta, em algodão, cor branca sem transparência, contendo a logomarca da contratada bordada em tamanho discreto</t>
  </si>
  <si>
    <t>Touca copa/cozinha em redinha com aba, na cor preta</t>
  </si>
  <si>
    <t>Avental em tecido na cor preta, com bolso frontal, com tira no pescoço e nas laterais para amarrar</t>
  </si>
  <si>
    <t>Camisa social de manga curta, sem transparência, na cor cinza, contendo a logomarca da contratada bordada em tamanho discreto</t>
  </si>
  <si>
    <t>Cinto de couro na cor preta</t>
  </si>
  <si>
    <t>Camisa social de manga longa na cor branca sem transparência</t>
  </si>
  <si>
    <t>Gravata modelo “borboleta” com fecho e regulagem na cor preta</t>
  </si>
  <si>
    <t>Presilha com laço, em tecido e rede, na cor preta, para prender o cabelo</t>
  </si>
  <si>
    <t>Preço conforme unidade de medida</t>
  </si>
  <si>
    <t>Especificação </t>
  </si>
  <si>
    <t>Unidade de medida </t>
  </si>
  <si>
    <t>Periodicidade</t>
  </si>
  <si>
    <t>Preço (conforme unidade de medida)</t>
  </si>
  <si>
    <t>Camiseta manga longa segunda pele térmica, gola careca, poliéster, na cor branca</t>
  </si>
  <si>
    <t>Sapatilha lisa, na cor preta, antiderrapante e macia</t>
  </si>
  <si>
    <t>Kit com 6 pares de meias, em poliamida, na cor preta</t>
  </si>
  <si>
    <t>Terno em microfibra poliéster, cor preta, com costura reforçada e contendo a logomarca da contratada bordada em tamanho discreto</t>
  </si>
  <si>
    <t>Par de sapatos social na cor preta, antiderrapante e macio</t>
  </si>
  <si>
    <t>Preço unitário (conforme descrição do item)</t>
  </si>
  <si>
    <t>Descrição do item</t>
  </si>
  <si>
    <t>Calça</t>
  </si>
  <si>
    <t>Touca</t>
  </si>
  <si>
    <t>Avental</t>
  </si>
  <si>
    <t>Camiseta - manga curta</t>
  </si>
  <si>
    <t>Camiseta - manga longa</t>
  </si>
  <si>
    <t>Sapatilha</t>
  </si>
  <si>
    <t>Meia</t>
  </si>
  <si>
    <t>Terno</t>
  </si>
  <si>
    <t>Camisa</t>
  </si>
  <si>
    <t>Sapato</t>
  </si>
  <si>
    <t>Cinto</t>
  </si>
  <si>
    <t>Gravata</t>
  </si>
  <si>
    <t>Presilha</t>
  </si>
  <si>
    <t>COPEIRO</t>
  </si>
  <si>
    <t>ENCARREGADO</t>
  </si>
  <si>
    <t>GARÇOM</t>
  </si>
  <si>
    <t>Seq.</t>
  </si>
  <si>
    <t>Qtde semestral (A)</t>
  </si>
  <si>
    <t>Menor preço (B)</t>
  </si>
  <si>
    <t>Custo semestral (C=A*B)</t>
  </si>
  <si>
    <t>Custo mensal (D=C/6)</t>
  </si>
  <si>
    <t>Água sanitária (sódio e água na proporção de 2% a 2,5% de hipoclorito de sódio) </t>
  </si>
  <si>
    <t>Un. </t>
  </si>
  <si>
    <t>Lã de aço</t>
  </si>
  <si>
    <t>Pacote com 8 unidades</t>
  </si>
  <si>
    <t>Esponja dupla face para lavagem de louças e utensílios de cozinha – tamanho aproximado 75X22x110 mm </t>
  </si>
  <si>
    <t>Pacote com 4 unidades</t>
  </si>
  <si>
    <t>Flanela de algodão na cor branca – de aprox. 35 x 55 cm </t>
  </si>
  <si>
    <t>Pano de prato de tecido, 100% algodão branco – tamanho aproximado 42X70 cm </t>
  </si>
  <si>
    <t>Saco alvejado – tamanho aproximado 40X68cm </t>
  </si>
  <si>
    <t>Pacote com 12 unidades</t>
  </si>
  <si>
    <t>Saco plástico para lixo reforçado na cor preta – 100 Litros</t>
  </si>
  <si>
    <t>Pacote com 100 unidades</t>
  </si>
  <si>
    <t>Limpador multiuso líquido</t>
  </si>
  <si>
    <t>Frasco de 500 ml </t>
  </si>
  <si>
    <t>Álcool etílico líquido hidratado 70% INPM</t>
  </si>
  <si>
    <t>Frasco de 1 litro</t>
  </si>
  <si>
    <t>Un.</t>
  </si>
  <si>
    <t>Luva de borracha multiuso forrada, com acabamento antiderrapante e cano médio. (pacote com 1 par)</t>
  </si>
  <si>
    <t>Suporte para sabão, detergente e esponja em material plástico – aprox. 3,5x25,4cm  </t>
  </si>
  <si>
    <t>Semestral</t>
  </si>
  <si>
    <t>Vassoura de pelo sintético e cabo em madeira – aprox. 120X40cm</t>
  </si>
  <si>
    <t>Rodo médio com cabo em madeira – aprox. 120x40cm  </t>
  </si>
  <si>
    <t>Balde plástico, capacidade de 15 litros </t>
  </si>
  <si>
    <t>Rodo para pia com cabo reforçado em polipropileno – aprox. 14 cm  </t>
  </si>
  <si>
    <t>Pá de lixo em polipropileno com escova de cerdas em PVC </t>
  </si>
  <si>
    <t>Sabão em barra neutro</t>
  </si>
  <si>
    <t>Pacote com 5 unidades de 200g cada</t>
  </si>
  <si>
    <t>Sabão em pó</t>
  </si>
  <si>
    <t>Pacote de 5 kg</t>
  </si>
  <si>
    <t>Limpa alumínio</t>
  </si>
  <si>
    <t>Fraco de 500ml</t>
  </si>
  <si>
    <t>Escova de plástico para lavar roupa, multiuso e oval. </t>
  </si>
  <si>
    <t>Açúcar tipo cristal branco, de 1ª qualidade, composição de origem vegetal, sacarose de cana de açúcar; empacotado automaticamente em embalagens individuais, acondicionado em fardos ou em caixas, livre de fermentação, isento de matéria terrosa, de parasitas e de detritos animais ou vegetais, com data de validade e lote do produto informados na embalagem. Prazo de validade superior a 10 (dez) meses, a contar do recebimento.  </t>
  </si>
  <si>
    <t>Pacote de 2 kg</t>
  </si>
  <si>
    <t>Adoçante líquido, tipo dietético, 100%, Sucralose ou composto de Sucralose com adição de Acessulfame de Potássio ou Sorbitol. Acondicionado em frascos plásticos de no mínimo 75 ml, com bico dosador, prazo de validade superior a 10 (dez) meses, a contar do recebimento. Referência: Linea Sucralose, Gold Sucralose ou de qualidade equivalente ou superior.</t>
  </si>
  <si>
    <t>Trimestral</t>
  </si>
  <si>
    <t>Café em pó homogêneo, torrado e moído, TIPO SUPERIOR, sabor predominantemente arábico, com, no máximo, 20% de grãos tipo Conilon/Robusta. Embalagem: pacotes de 500g, tipo vácuo, contendo na embalagem a identificação do produto, a marca do fabricante, a data de fabricação, o prazo de validade não inferior a 10 (dez) meses contados da data de recebimento. Características químicas (exigidas para cada 100g): umidade máxima 5,0%, resíduo mineral fixo máximo 5,0%, resíduo mineral fixo, insolúvel em ácido clorídrico a 10% máximo 1,0%, cafeína mínimo 0,7%, extrato aquoso mínimo 25,0%, extrato etéreo mínimo 8,0%, características sensoriais: aroma característico do produto, acidez baixa a moderada, amargor moderado, sabor característico e equilibrado, livre de sabor fermentado, mofado e de terra, adstringência baixa, corpo razoavelmente encorpado. Acondicionado em embalagem a vácuo puro, 500g.</t>
  </si>
  <si>
    <t>Copo descartável biodegradável, polipropileno “PP”, nas cores branca ou transparente, com capacidade de 50 ml; para uso de bebida quente.</t>
  </si>
  <si>
    <t>Guardanapo de papel branco, folha dupla, medindo aproximadamente 24cm x 24cm, com boa capacidade de absorção, sem furos, materiais estranhos ou sujidades.</t>
  </si>
  <si>
    <t>Pacote com 50 unidades</t>
  </si>
  <si>
    <t>Açucareiro com colher
Material (pote, tampa e colher): aço inoxidável
Capacidade aproximada: 300 ml
Dimensões aproximadas: 11 x 7,5 cm
Características adicionais: com tampa e entrada para colher</t>
  </si>
  <si>
    <t>Anual</t>
  </si>
  <si>
    <t xml:space="preserve">Bule, fabricado em aço inoxidável; sem bordas cortantes; com capacidade de 600 ml; resistente a alta temperatura da bebida; com tampa protetiva; com alça fabricada no mesmo material e fixa ao bule; preferencialmente com bico anatômico apropriado para servir a bebida. </t>
  </si>
  <si>
    <t>Un.  </t>
  </si>
  <si>
    <t>Leiteira em alumínio - cabo em baquelite - 2 litros Observação: toda borda com curvatura.</t>
  </si>
  <si>
    <t>Bandeja em aço inox, redonda, medindo 45 cm de diâmetro. Observação: o fundo deve ser rígido.</t>
  </si>
  <si>
    <t>Bandeja em aço inox, redonda, medindo 30 cm de diâmetro. Observação: o fundo deve ser rígido.</t>
  </si>
  <si>
    <t>Copo liso reto de vidro 300 ml, para água, transparente, cilíndrico, fundo reforçado. </t>
  </si>
  <si>
    <t>Jarra 2 litros, em inox, c/ tampa e aparador de gelo.</t>
  </si>
  <si>
    <t>Coador de pano p/ cafeteira industrial compatível com as máquinas previstas neste termo de referência</t>
  </si>
  <si>
    <t>Porta sabão em pó - Composição: Polipropileno e Polietileno - Dimensões: 21,5cm x 9cm x 21cm (aproximadamente) - Capacidade: 2,35 litros - Ideal para armazenar 1kg de sabão em pó</t>
  </si>
  <si>
    <t xml:space="preserve">Porta-guardanapos de mesa, tipo paralelo, sem borda cortante, acabamento quadrado ou redondo, totalmente fabricada em aço inoxidável, corpo sem emendas, medindo aproximadamente 12 cm X 3 cm X 8,5 cm (Comprimento X Largura X Altura). Espessura mínima da chapa de 1 mm. </t>
  </si>
  <si>
    <t>Colher grande, lisa, fabricada em aço inoxidável; resistente. Dimensões aproximadas: 33 a 35 cm de comprimento; 7 a 8 cm de largura; Tipo "colher para arroz".</t>
  </si>
  <si>
    <t>Escada de 3 degraus fabricada em alumínio; fabricadas segundo os critérios da ABNT. Leves, dobráveis e fáceis de guardar. Peso aprox. suportado: 120 kg. Peso aprox. do produto: 2,334 kg. Altura da escada aberta até o último degrau, aproximadamente, 65 cm</t>
  </si>
  <si>
    <t>Armário roupeiro com 8 portas grandes fabricado em aço inoxidável, na cor cinza, pés com sapatas plásticas protetoras, com pitão para cadeado. Dimensões aproximadas: Altura: 1,96m; Largura: 1,23m; Profundidade: 0,36m.</t>
  </si>
  <si>
    <t>Armário em aço inoxidável escovado (liga AISI 304) - resistente a corrosões; com duas portas, pés com sapatas plásticas protetoras, 4 prateleiras, com puxadores e sistema de trancamento por meio de chave. Dimensões: 2,00m x 0,9m x 0,4m (Altura x Largura x Profundidade).</t>
  </si>
  <si>
    <t>Litro</t>
  </si>
  <si>
    <t>Unidade</t>
  </si>
  <si>
    <t>Pacote</t>
  </si>
  <si>
    <t>Franco de 500 ml</t>
  </si>
  <si>
    <t>Detergente neutro, para lavagem de louças</t>
  </si>
  <si>
    <t>Qtde (A)</t>
  </si>
  <si>
    <t>Fator para conversão em "mensal" (B)</t>
  </si>
  <si>
    <t>Menor preço (C)</t>
  </si>
  <si>
    <t>Custo mensal (D=A*C/B)</t>
  </si>
  <si>
    <t>Copeiro</t>
  </si>
  <si>
    <t>TOTAL MENSAL POR POSTO</t>
  </si>
  <si>
    <t>19.00.6150.0004492/2020-80</t>
  </si>
  <si>
    <t>Posto</t>
  </si>
  <si>
    <t>Outros Benefícios 2 (Assistência Funeral)</t>
  </si>
  <si>
    <t>Outros Benefícios 1 (Assistência Odontológica)</t>
  </si>
  <si>
    <t>-</t>
  </si>
  <si>
    <t>Porta mantimento, com tampa,  para guardar café e açúcar; capacidade de 5 litros. Material: plástico; característias: atóxico  e resistente.</t>
  </si>
  <si>
    <t>Máquina de café industrial, em formato retangular, inclusive com aros para fixação do coador, com 2 (dois) depósitos, tendo cada um com capacidade mínima de 5 (cinco) litros, com, no mínimo, 3 (três) torneiras de saída. com controle termostático de temperatura. Resistência de imersão em aço inox blindado; Dispositivos (visores) para verificação do nível de água; voltagem: 220volts; potência: mínima de 1300W; certificação do INMETRO. Dimensões aproximadas (mm): 450X475X300 (A x L x P). Marca de referência: Cafeteira Conjugada 10 Litros Monarcha M52dc Elétrica</t>
  </si>
  <si>
    <t>Carrinho auxiliar para transporte de utensílios; em estrutura de tubo de aço inox redondo; com alça para manuseio do tipo tubular; com 03 prateleiras em aço inox; rodízios giratórios, com sistema de freios em diagonal, fabricada em material macio (para diminuição de ruído no piso). Dimensões aprox.:  94x90x58 cm (AxCxL). Capacidade para suportar 70 quilogramas, no mínimo. </t>
  </si>
  <si>
    <t>Funil fabricado em material plástico, atóxico e resistente; Capacidade aproximada de 1,5 litros. Observação: utilizado para abastecimento da cafeteira industrial prevista neste termo de referência.</t>
  </si>
  <si>
    <t>Toalha plástica em PVC para carrinho de copeiragem. Tamanho aproximado 100cm x 60cm.</t>
  </si>
  <si>
    <t>Toalha plástica em PVC para Bandeja de 45 cm de diâmetro </t>
  </si>
  <si>
    <t>Toalha plástica em PVC para Bandeja de 30 cm de diâmetro </t>
  </si>
  <si>
    <t>Garçom</t>
  </si>
  <si>
    <t>Encarregado</t>
  </si>
  <si>
    <t>60 meses</t>
  </si>
  <si>
    <t>O item se relaciona com qual cat prof?</t>
  </si>
  <si>
    <t>Resumo: custo / posto</t>
  </si>
  <si>
    <t>Total por categoria profissional</t>
  </si>
  <si>
    <t>Total mensal por posto</t>
  </si>
  <si>
    <t>Qtde de postos</t>
  </si>
  <si>
    <t>Cat. Prof.</t>
  </si>
  <si>
    <t xml:space="preserve">Taxa de depreciação (E) </t>
  </si>
  <si>
    <t>Copeiro, Garçom e Encarregado</t>
  </si>
  <si>
    <t>Rádio digital bidirecional que funciona em 900 MHz. Visor colorido com gráfico completo e menu de navegação intuitivo que ajuda a localizar rapidamente todas as funções do rádio.  Deve oferecer opções flexíveis de comunicação, incluindo “chamada digital um para um” e “chamada digital um para vários”. Deve proporcionar um excelente nível de cobertura entre os andares e subsolo do prédio (Superior a 8 andares), bateria de longa duração (superior a 16 horas), carregador de mesa e qualidade de áudio digital; isto é, áudio forte em qualquer parte. Padrões de IP – IP54. Observação: o rádio deverá possuir compatibilidade de pareamento e comunicação com o modelo utilizado pela fiscalização (Motorola DRT 620).</t>
  </si>
  <si>
    <t>Copo descartável biodegradável, polipropileno “PP”, nas cores branca ou transparente, com capacidade de 200 ml; para uso de bebidas quentes ou frias.</t>
  </si>
  <si>
    <t>5134-05</t>
  </si>
  <si>
    <t xml:space="preserve">Total Geral por posto </t>
  </si>
  <si>
    <t>Vlr. Icluído nos itens 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</si>
</sst>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  <numFmt numFmtId="165" formatCode="#,##0.00_ ;\-#,##0.00\ "/>
    <numFmt numFmtId="166" formatCode="#,##0.0"/>
    <numFmt numFmtId="167" formatCode="_-[$R$-416]\ * #,##0.00_-;\-[$R$-416]\ * #,##0.00_-;_-[$R$-416]\ * &quot;-&quot;??_-;_-@_-"/>
  </numFmts>
  <fonts count="48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name val="Segoe UI Light"/>
      <family val="2"/>
    </font>
    <font>
      <sz val="14"/>
      <name val="Segoe UI Light"/>
      <family val="2"/>
    </font>
    <font>
      <sz val="8"/>
      <name val="Segoe UI Light"/>
      <family val="2"/>
    </font>
    <font>
      <b/>
      <sz val="11"/>
      <name val="Segoe UI Light"/>
      <family val="2"/>
    </font>
    <font>
      <b/>
      <sz val="16"/>
      <name val="Segoe UI Light"/>
      <family val="2"/>
    </font>
    <font>
      <i/>
      <sz val="10"/>
      <name val="Segoe UI Light"/>
      <family val="2"/>
    </font>
    <font>
      <b/>
      <sz val="11"/>
      <color theme="0"/>
      <name val="Segoe UI Light"/>
      <family val="2"/>
    </font>
    <font>
      <sz val="11"/>
      <color rgb="FFFF0000"/>
      <name val="Segoe UI Light"/>
      <family val="2"/>
    </font>
    <font>
      <b/>
      <sz val="16"/>
      <color theme="5" tint="-0.499984740745262"/>
      <name val="Segoe UI Light"/>
      <family val="2"/>
    </font>
    <font>
      <sz val="11"/>
      <color theme="5" tint="-0.249977111117893"/>
      <name val="Segoe UI Light"/>
      <family val="2"/>
    </font>
    <font>
      <i/>
      <sz val="10"/>
      <color theme="0"/>
      <name val="Segoe UI Light"/>
      <family val="2"/>
    </font>
    <font>
      <b/>
      <sz val="14"/>
      <color theme="5" tint="-0.249977111117893"/>
      <name val="Segoe UI Light"/>
      <family val="2"/>
    </font>
    <font>
      <b/>
      <sz val="11"/>
      <color theme="5" tint="-0.499984740745262"/>
      <name val="Segoe UI Light"/>
      <family val="2"/>
    </font>
    <font>
      <b/>
      <sz val="14"/>
      <color theme="5" tint="-0.499984740745262"/>
      <name val="Segoe UI Light"/>
      <family val="2"/>
    </font>
    <font>
      <b/>
      <sz val="12"/>
      <color theme="5" tint="-0.499984740745262"/>
      <name val="Segoe UI Light"/>
      <family val="2"/>
    </font>
    <font>
      <b/>
      <sz val="20"/>
      <color theme="5" tint="-0.249977111117893"/>
      <name val="Segoe UI Light"/>
      <family val="2"/>
    </font>
    <font>
      <sz val="10"/>
      <color theme="1"/>
      <name val="Cambria"/>
      <family val="2"/>
      <scheme val="major"/>
    </font>
    <font>
      <sz val="10"/>
      <color theme="1"/>
      <name val="Calibri Light"/>
      <family val="2"/>
    </font>
    <font>
      <b/>
      <sz val="10"/>
      <color theme="1"/>
      <name val="Calibri Light"/>
      <family val="2"/>
    </font>
    <font>
      <sz val="10"/>
      <name val="Calibri Light"/>
      <family val="2"/>
    </font>
    <font>
      <b/>
      <sz val="10"/>
      <name val="Calibri Light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</fonts>
  <fills count="4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D55816"/>
        <bgColor indexed="64"/>
      </patternFill>
    </fill>
    <fill>
      <patternFill patternType="solid">
        <fgColor rgb="FFD55816"/>
        <bgColor indexed="4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D55816"/>
        <bgColor indexed="3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22" borderId="0" applyNumberFormat="0" applyBorder="0" applyAlignment="0" applyProtection="0"/>
    <xf numFmtId="0" fontId="18" fillId="23" borderId="4" applyNumberForma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164" fontId="18" fillId="0" borderId="0" applyFont="0" applyFill="0" applyBorder="0" applyAlignment="0" applyProtection="0"/>
  </cellStyleXfs>
  <cellXfs count="261">
    <xf numFmtId="0" fontId="0" fillId="0" borderId="0" xfId="0"/>
    <xf numFmtId="0" fontId="25" fillId="27" borderId="10" xfId="0" applyFont="1" applyFill="1" applyBorder="1" applyAlignment="1" applyProtection="1">
      <alignment horizontal="center" vertical="center"/>
    </xf>
    <xf numFmtId="0" fontId="25" fillId="27" borderId="10" xfId="0" applyFont="1" applyFill="1" applyBorder="1" applyAlignment="1" applyProtection="1">
      <alignment horizontal="center" vertical="center" wrapText="1"/>
    </xf>
    <xf numFmtId="0" fontId="25" fillId="28" borderId="10" xfId="0" applyFont="1" applyFill="1" applyBorder="1" applyAlignment="1" applyProtection="1">
      <alignment horizontal="center" vertical="center" wrapText="1"/>
    </xf>
    <xf numFmtId="4" fontId="19" fillId="29" borderId="10" xfId="0" applyNumberFormat="1" applyFont="1" applyFill="1" applyBorder="1" applyAlignment="1" applyProtection="1">
      <alignment horizontal="right" vertical="center" wrapText="1"/>
    </xf>
    <xf numFmtId="0" fontId="22" fillId="24" borderId="0" xfId="0" applyFont="1" applyFill="1" applyBorder="1" applyAlignment="1" applyProtection="1"/>
    <xf numFmtId="0" fontId="22" fillId="25" borderId="0" xfId="0" applyFont="1" applyFill="1" applyBorder="1" applyAlignment="1" applyProtection="1">
      <alignment horizontal="left" vertical="center" wrapText="1"/>
    </xf>
    <xf numFmtId="0" fontId="19" fillId="25" borderId="0" xfId="0" applyFont="1" applyFill="1" applyProtection="1"/>
    <xf numFmtId="39" fontId="19" fillId="25" borderId="0" xfId="0" applyNumberFormat="1" applyFont="1" applyFill="1" applyBorder="1" applyAlignment="1" applyProtection="1">
      <alignment horizontal="right"/>
    </xf>
    <xf numFmtId="0" fontId="19" fillId="25" borderId="0" xfId="0" applyFont="1" applyFill="1" applyBorder="1" applyAlignment="1" applyProtection="1">
      <alignment horizontal="left" vertical="center" wrapText="1"/>
    </xf>
    <xf numFmtId="0" fontId="23" fillId="25" borderId="0" xfId="0" applyFont="1" applyFill="1" applyBorder="1" applyAlignment="1" applyProtection="1">
      <alignment horizontal="left" vertical="center"/>
    </xf>
    <xf numFmtId="0" fontId="19" fillId="25" borderId="0" xfId="0" applyFont="1" applyFill="1" applyBorder="1" applyProtection="1"/>
    <xf numFmtId="0" fontId="19" fillId="25" borderId="0" xfId="0" applyFont="1" applyFill="1" applyBorder="1" applyAlignment="1" applyProtection="1">
      <alignment horizontal="center"/>
    </xf>
    <xf numFmtId="0" fontId="19" fillId="26" borderId="0" xfId="0" applyFont="1" applyFill="1" applyProtection="1"/>
    <xf numFmtId="39" fontId="22" fillId="25" borderId="0" xfId="0" applyNumberFormat="1" applyFont="1" applyFill="1" applyBorder="1" applyAlignment="1" applyProtection="1">
      <alignment horizontal="center" vertical="center" wrapText="1"/>
    </xf>
    <xf numFmtId="39" fontId="19" fillId="25" borderId="0" xfId="0" applyNumberFormat="1" applyFont="1" applyFill="1" applyAlignment="1" applyProtection="1">
      <alignment horizontal="center"/>
    </xf>
    <xf numFmtId="0" fontId="22" fillId="25" borderId="0" xfId="0" applyFont="1" applyFill="1" applyBorder="1" applyAlignment="1" applyProtection="1">
      <alignment horizontal="center" vertical="center" wrapText="1"/>
    </xf>
    <xf numFmtId="39" fontId="19" fillId="25" borderId="0" xfId="0" applyNumberFormat="1" applyFont="1" applyFill="1" applyBorder="1" applyAlignment="1" applyProtection="1">
      <alignment horizontal="center" vertical="center" wrapText="1"/>
    </xf>
    <xf numFmtId="49" fontId="19" fillId="30" borderId="10" xfId="0" applyNumberFormat="1" applyFont="1" applyFill="1" applyBorder="1" applyAlignment="1" applyProtection="1">
      <alignment horizontal="center"/>
      <protection locked="0"/>
    </xf>
    <xf numFmtId="0" fontId="25" fillId="27" borderId="10" xfId="0" applyFont="1" applyFill="1" applyBorder="1" applyAlignment="1" applyProtection="1">
      <alignment horizontal="center"/>
    </xf>
    <xf numFmtId="14" fontId="19" fillId="30" borderId="10" xfId="0" applyNumberFormat="1" applyFont="1" applyFill="1" applyBorder="1" applyAlignment="1" applyProtection="1">
      <alignment horizontal="center"/>
      <protection locked="0"/>
    </xf>
    <xf numFmtId="0" fontId="19" fillId="29" borderId="10" xfId="0" applyFont="1" applyFill="1" applyBorder="1" applyAlignment="1" applyProtection="1"/>
    <xf numFmtId="0" fontId="25" fillId="25" borderId="0" xfId="0" applyFont="1" applyFill="1" applyBorder="1" applyAlignment="1" applyProtection="1">
      <alignment horizontal="center"/>
    </xf>
    <xf numFmtId="0" fontId="19" fillId="25" borderId="0" xfId="0" applyFont="1" applyFill="1" applyBorder="1" applyAlignment="1" applyProtection="1">
      <alignment horizontal="left"/>
    </xf>
    <xf numFmtId="0" fontId="19" fillId="29" borderId="10" xfId="0" applyFont="1" applyFill="1" applyBorder="1" applyAlignment="1" applyProtection="1">
      <alignment horizontal="center"/>
    </xf>
    <xf numFmtId="0" fontId="29" fillId="27" borderId="10" xfId="0" applyFont="1" applyFill="1" applyBorder="1" applyAlignment="1" applyProtection="1">
      <alignment horizontal="center" vertical="center" wrapText="1"/>
    </xf>
    <xf numFmtId="39" fontId="24" fillId="29" borderId="10" xfId="0" applyNumberFormat="1" applyFont="1" applyFill="1" applyBorder="1" applyAlignment="1" applyProtection="1">
      <alignment horizontal="center" vertical="center" wrapText="1"/>
    </xf>
    <xf numFmtId="39" fontId="19" fillId="33" borderId="10" xfId="0" applyNumberFormat="1" applyFont="1" applyFill="1" applyBorder="1" applyAlignment="1" applyProtection="1">
      <alignment horizontal="right" vertical="center" wrapText="1"/>
      <protection locked="0"/>
    </xf>
    <xf numFmtId="0" fontId="30" fillId="25" borderId="0" xfId="0" applyFont="1" applyFill="1" applyBorder="1" applyAlignment="1" applyProtection="1">
      <alignment horizontal="left" vertical="center"/>
    </xf>
    <xf numFmtId="0" fontId="28" fillId="25" borderId="0" xfId="0" applyFont="1" applyFill="1" applyBorder="1" applyAlignment="1" applyProtection="1">
      <alignment horizontal="left" vertical="center" wrapText="1"/>
    </xf>
    <xf numFmtId="39" fontId="28" fillId="25" borderId="0" xfId="0" applyNumberFormat="1" applyFont="1" applyFill="1" applyBorder="1" applyAlignment="1" applyProtection="1">
      <alignment horizontal="center" vertical="center" wrapText="1"/>
    </xf>
    <xf numFmtId="39" fontId="19" fillId="29" borderId="10" xfId="0" applyNumberFormat="1" applyFont="1" applyFill="1" applyBorder="1" applyAlignment="1" applyProtection="1">
      <alignment horizontal="right" vertical="center" wrapText="1"/>
    </xf>
    <xf numFmtId="39" fontId="25" fillId="27" borderId="10" xfId="0" applyNumberFormat="1" applyFont="1" applyFill="1" applyBorder="1" applyAlignment="1" applyProtection="1">
      <alignment horizontal="right" vertical="center" wrapText="1"/>
    </xf>
    <xf numFmtId="2" fontId="19" fillId="29" borderId="10" xfId="0" applyNumberFormat="1" applyFont="1" applyFill="1" applyBorder="1" applyAlignment="1" applyProtection="1">
      <alignment horizontal="center" vertical="center"/>
    </xf>
    <xf numFmtId="2" fontId="25" fillId="27" borderId="10" xfId="0" applyNumberFormat="1" applyFont="1" applyFill="1" applyBorder="1" applyAlignment="1" applyProtection="1">
      <alignment horizontal="center" vertical="center"/>
    </xf>
    <xf numFmtId="4" fontId="25" fillId="34" borderId="10" xfId="0" applyNumberFormat="1" applyFont="1" applyFill="1" applyBorder="1" applyAlignment="1" applyProtection="1">
      <alignment horizontal="right" vertical="center" wrapText="1"/>
    </xf>
    <xf numFmtId="4" fontId="25" fillId="27" borderId="10" xfId="0" applyNumberFormat="1" applyFont="1" applyFill="1" applyBorder="1" applyAlignment="1" applyProtection="1">
      <alignment horizontal="right"/>
    </xf>
    <xf numFmtId="4" fontId="25" fillId="27" borderId="10" xfId="0" applyNumberFormat="1" applyFont="1" applyFill="1" applyBorder="1" applyAlignment="1" applyProtection="1">
      <alignment horizontal="right" vertical="center"/>
    </xf>
    <xf numFmtId="4" fontId="25" fillId="34" borderId="11" xfId="0" applyNumberFormat="1" applyFont="1" applyFill="1" applyBorder="1" applyAlignment="1" applyProtection="1">
      <alignment horizontal="right" vertical="center" wrapText="1"/>
    </xf>
    <xf numFmtId="0" fontId="25" fillId="27" borderId="11" xfId="0" applyFont="1" applyFill="1" applyBorder="1" applyAlignment="1" applyProtection="1">
      <alignment horizontal="center"/>
    </xf>
    <xf numFmtId="2" fontId="19" fillId="29" borderId="10" xfId="0" applyNumberFormat="1" applyFont="1" applyFill="1" applyBorder="1" applyAlignment="1" applyProtection="1">
      <alignment horizontal="center" vertical="center" wrapText="1"/>
    </xf>
    <xf numFmtId="39" fontId="19" fillId="29" borderId="11" xfId="0" applyNumberFormat="1" applyFont="1" applyFill="1" applyBorder="1" applyAlignment="1" applyProtection="1">
      <alignment horizontal="right" vertical="center" wrapText="1"/>
    </xf>
    <xf numFmtId="39" fontId="19" fillId="29" borderId="10" xfId="0" applyNumberFormat="1" applyFont="1" applyFill="1" applyBorder="1" applyAlignment="1" applyProtection="1">
      <alignment horizontal="center" vertical="center" wrapText="1"/>
    </xf>
    <xf numFmtId="0" fontId="25" fillId="27" borderId="11" xfId="0" applyFont="1" applyFill="1" applyBorder="1" applyAlignment="1" applyProtection="1">
      <alignment horizontal="center" vertical="center"/>
    </xf>
    <xf numFmtId="0" fontId="25" fillId="28" borderId="11" xfId="0" applyFont="1" applyFill="1" applyBorder="1" applyAlignment="1" applyProtection="1">
      <alignment horizontal="center" vertical="center" wrapText="1"/>
    </xf>
    <xf numFmtId="0" fontId="31" fillId="25" borderId="0" xfId="0" applyFont="1" applyFill="1" applyAlignment="1" applyProtection="1">
      <alignment horizontal="left"/>
    </xf>
    <xf numFmtId="0" fontId="32" fillId="25" borderId="0" xfId="0" applyFont="1" applyFill="1" applyBorder="1" applyAlignment="1" applyProtection="1">
      <alignment horizontal="left" vertical="center"/>
    </xf>
    <xf numFmtId="165" fontId="19" fillId="29" borderId="10" xfId="0" applyNumberFormat="1" applyFont="1" applyFill="1" applyBorder="1" applyAlignment="1" applyProtection="1">
      <alignment horizontal="center" vertical="center" wrapText="1"/>
    </xf>
    <xf numFmtId="4" fontId="19" fillId="35" borderId="10" xfId="0" applyNumberFormat="1" applyFont="1" applyFill="1" applyBorder="1" applyAlignment="1" applyProtection="1">
      <alignment horizontal="right" vertical="center" wrapText="1"/>
    </xf>
    <xf numFmtId="39" fontId="19" fillId="35" borderId="10" xfId="0" applyNumberFormat="1" applyFont="1" applyFill="1" applyBorder="1" applyAlignment="1" applyProtection="1">
      <alignment horizontal="right" vertical="center" wrapText="1"/>
    </xf>
    <xf numFmtId="2" fontId="19" fillId="35" borderId="10" xfId="0" applyNumberFormat="1" applyFont="1" applyFill="1" applyBorder="1" applyAlignment="1" applyProtection="1">
      <alignment horizontal="center" vertical="center" wrapText="1"/>
    </xf>
    <xf numFmtId="39" fontId="19" fillId="35" borderId="11" xfId="0" applyNumberFormat="1" applyFont="1" applyFill="1" applyBorder="1" applyAlignment="1" applyProtection="1">
      <alignment horizontal="right" vertical="center" wrapText="1"/>
    </xf>
    <xf numFmtId="39" fontId="19" fillId="35" borderId="10" xfId="0" applyNumberFormat="1" applyFont="1" applyFill="1" applyBorder="1" applyAlignment="1" applyProtection="1">
      <alignment horizontal="center" vertical="center" wrapText="1"/>
    </xf>
    <xf numFmtId="39" fontId="24" fillId="35" borderId="10" xfId="0" applyNumberFormat="1" applyFont="1" applyFill="1" applyBorder="1" applyAlignment="1" applyProtection="1">
      <alignment horizontal="center" vertical="center" wrapText="1"/>
    </xf>
    <xf numFmtId="39" fontId="24" fillId="29" borderId="10" xfId="0" applyNumberFormat="1" applyFont="1" applyFill="1" applyBorder="1" applyAlignment="1" applyProtection="1">
      <alignment horizontal="right" vertical="center" wrapText="1"/>
    </xf>
    <xf numFmtId="39" fontId="24" fillId="35" borderId="10" xfId="0" applyNumberFormat="1" applyFont="1" applyFill="1" applyBorder="1" applyAlignment="1" applyProtection="1">
      <alignment horizontal="right" vertical="center" wrapText="1"/>
    </xf>
    <xf numFmtId="0" fontId="19" fillId="35" borderId="10" xfId="0" applyFont="1" applyFill="1" applyBorder="1" applyAlignment="1" applyProtection="1">
      <alignment horizontal="center"/>
    </xf>
    <xf numFmtId="0" fontId="25" fillId="27" borderId="13" xfId="0" applyFont="1" applyFill="1" applyBorder="1" applyAlignment="1" applyProtection="1">
      <alignment horizontal="center" vertical="center" wrapText="1"/>
    </xf>
    <xf numFmtId="0" fontId="19" fillId="31" borderId="10" xfId="0" applyFont="1" applyFill="1" applyBorder="1" applyAlignment="1" applyProtection="1">
      <alignment horizontal="justify" vertical="center" wrapText="1"/>
    </xf>
    <xf numFmtId="4" fontId="19" fillId="30" borderId="10" xfId="0" applyNumberFormat="1" applyFont="1" applyFill="1" applyBorder="1" applyAlignment="1" applyProtection="1">
      <alignment horizontal="right"/>
      <protection locked="0"/>
    </xf>
    <xf numFmtId="0" fontId="19" fillId="30" borderId="10" xfId="0" applyFont="1" applyFill="1" applyBorder="1" applyAlignment="1" applyProtection="1">
      <alignment horizontal="center" vertical="center"/>
      <protection locked="0"/>
    </xf>
    <xf numFmtId="3" fontId="19" fillId="29" borderId="10" xfId="0" applyNumberFormat="1" applyFont="1" applyFill="1" applyBorder="1" applyAlignment="1" applyProtection="1">
      <alignment horizontal="right" vertical="center" wrapText="1"/>
    </xf>
    <xf numFmtId="166" fontId="19" fillId="29" borderId="10" xfId="0" applyNumberFormat="1" applyFont="1" applyFill="1" applyBorder="1" applyAlignment="1" applyProtection="1">
      <alignment horizontal="right" vertical="center" wrapText="1"/>
    </xf>
    <xf numFmtId="3" fontId="19" fillId="35" borderId="10" xfId="0" applyNumberFormat="1" applyFont="1" applyFill="1" applyBorder="1" applyAlignment="1" applyProtection="1">
      <alignment horizontal="right" vertical="center" wrapText="1"/>
    </xf>
    <xf numFmtId="166" fontId="19" fillId="35" borderId="10" xfId="0" applyNumberFormat="1" applyFont="1" applyFill="1" applyBorder="1" applyAlignment="1" applyProtection="1">
      <alignment horizontal="right" vertical="center" wrapText="1"/>
    </xf>
    <xf numFmtId="37" fontId="19" fillId="35" borderId="10" xfId="0" applyNumberFormat="1" applyFont="1" applyFill="1" applyBorder="1" applyAlignment="1" applyProtection="1">
      <alignment horizontal="right" vertical="center" wrapText="1"/>
    </xf>
    <xf numFmtId="37" fontId="19" fillId="29" borderId="10" xfId="0" applyNumberFormat="1" applyFont="1" applyFill="1" applyBorder="1" applyAlignment="1" applyProtection="1">
      <alignment horizontal="right" vertical="center" wrapText="1"/>
    </xf>
    <xf numFmtId="4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1" xfId="0" applyNumberFormat="1" applyFont="1" applyFill="1" applyBorder="1" applyAlignment="1" applyProtection="1">
      <alignment horizontal="right" vertical="center" wrapText="1"/>
      <protection locked="0"/>
    </xf>
    <xf numFmtId="37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0" fontId="20" fillId="30" borderId="13" xfId="0" applyFont="1" applyFill="1" applyBorder="1" applyAlignment="1" applyProtection="1">
      <protection locked="0"/>
    </xf>
    <xf numFmtId="39" fontId="19" fillId="32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27" borderId="13" xfId="0" applyFont="1" applyFill="1" applyBorder="1" applyAlignment="1" applyProtection="1">
      <alignment horizontal="center" vertical="center"/>
    </xf>
    <xf numFmtId="0" fontId="25" fillId="27" borderId="12" xfId="0" applyFont="1" applyFill="1" applyBorder="1" applyAlignment="1" applyProtection="1">
      <alignment horizontal="center" vertical="center"/>
    </xf>
    <xf numFmtId="0" fontId="19" fillId="30" borderId="13" xfId="0" applyFont="1" applyFill="1" applyBorder="1" applyAlignment="1" applyProtection="1">
      <alignment horizontal="center" vertical="center" wrapText="1"/>
      <protection locked="0"/>
    </xf>
    <xf numFmtId="0" fontId="19" fillId="29" borderId="10" xfId="0" applyFont="1" applyFill="1" applyBorder="1" applyAlignment="1" applyProtection="1">
      <alignment horizontal="left" vertical="center" wrapText="1"/>
    </xf>
    <xf numFmtId="0" fontId="19" fillId="29" borderId="10" xfId="0" applyFont="1" applyFill="1" applyBorder="1" applyAlignment="1" applyProtection="1">
      <alignment horizontal="center"/>
    </xf>
    <xf numFmtId="14" fontId="20" fillId="31" borderId="13" xfId="0" applyNumberFormat="1" applyFont="1" applyFill="1" applyBorder="1" applyAlignment="1" applyProtection="1">
      <alignment horizontal="right"/>
    </xf>
    <xf numFmtId="14" fontId="20" fillId="31" borderId="13" xfId="0" applyNumberFormat="1" applyFont="1" applyFill="1" applyBorder="1" applyAlignment="1" applyProtection="1"/>
    <xf numFmtId="0" fontId="21" fillId="26" borderId="0" xfId="0" applyFont="1" applyFill="1" applyProtection="1"/>
    <xf numFmtId="0" fontId="21" fillId="26" borderId="0" xfId="0" applyFont="1" applyFill="1" applyBorder="1" applyProtection="1"/>
    <xf numFmtId="14" fontId="19" fillId="36" borderId="10" xfId="0" applyNumberFormat="1" applyFont="1" applyFill="1" applyBorder="1" applyAlignment="1" applyProtection="1">
      <alignment horizontal="center"/>
    </xf>
    <xf numFmtId="2" fontId="19" fillId="36" borderId="10" xfId="0" applyNumberFormat="1" applyFont="1" applyFill="1" applyBorder="1" applyAlignment="1" applyProtection="1">
      <alignment horizontal="center"/>
    </xf>
    <xf numFmtId="0" fontId="19" fillId="29" borderId="10" xfId="0" applyNumberFormat="1" applyFont="1" applyFill="1" applyBorder="1" applyAlignment="1" applyProtection="1">
      <alignment horizontal="center"/>
    </xf>
    <xf numFmtId="0" fontId="19" fillId="35" borderId="10" xfId="0" applyNumberFormat="1" applyFont="1" applyFill="1" applyBorder="1" applyAlignment="1" applyProtection="1">
      <alignment horizontal="center"/>
    </xf>
    <xf numFmtId="0" fontId="27" fillId="25" borderId="0" xfId="0" applyFont="1" applyFill="1" applyAlignment="1" applyProtection="1">
      <alignment vertical="center"/>
    </xf>
    <xf numFmtId="0" fontId="19" fillId="25" borderId="0" xfId="0" applyFont="1" applyFill="1" applyAlignment="1" applyProtection="1">
      <alignment vertical="top"/>
    </xf>
    <xf numFmtId="0" fontId="21" fillId="26" borderId="0" xfId="0" applyFont="1" applyFill="1" applyAlignment="1" applyProtection="1">
      <alignment vertical="top"/>
    </xf>
    <xf numFmtId="0" fontId="28" fillId="25" borderId="0" xfId="0" applyFont="1" applyFill="1" applyProtection="1"/>
    <xf numFmtId="0" fontId="26" fillId="25" borderId="0" xfId="0" applyFont="1" applyFill="1" applyProtection="1"/>
    <xf numFmtId="0" fontId="26" fillId="25" borderId="0" xfId="0" applyFont="1" applyFill="1" applyAlignment="1" applyProtection="1">
      <alignment wrapText="1"/>
    </xf>
    <xf numFmtId="0" fontId="26" fillId="25" borderId="0" xfId="0" applyFont="1" applyFill="1" applyAlignment="1" applyProtection="1">
      <alignment horizontal="center" wrapText="1"/>
    </xf>
    <xf numFmtId="0" fontId="19" fillId="25" borderId="0" xfId="0" applyFont="1" applyFill="1" applyAlignment="1" applyProtection="1">
      <alignment wrapText="1"/>
    </xf>
    <xf numFmtId="37" fontId="19" fillId="35" borderId="10" xfId="0" applyNumberFormat="1" applyFont="1" applyFill="1" applyBorder="1" applyAlignment="1" applyProtection="1">
      <alignment horizontal="center"/>
    </xf>
    <xf numFmtId="0" fontId="22" fillId="24" borderId="0" xfId="0" applyFont="1" applyFill="1" applyBorder="1" applyAlignment="1" applyProtection="1">
      <alignment horizontal="left"/>
    </xf>
    <xf numFmtId="49" fontId="19" fillId="24" borderId="0" xfId="0" applyNumberFormat="1" applyFont="1" applyFill="1" applyBorder="1" applyAlignment="1" applyProtection="1">
      <alignment horizontal="center"/>
    </xf>
    <xf numFmtId="0" fontId="21" fillId="26" borderId="0" xfId="0" applyFont="1" applyFill="1" applyAlignment="1" applyProtection="1">
      <alignment horizontal="center" vertical="center"/>
    </xf>
    <xf numFmtId="0" fontId="19" fillId="25" borderId="0" xfId="0" applyNumberFormat="1" applyFont="1" applyFill="1" applyBorder="1" applyAlignment="1" applyProtection="1">
      <alignment horizontal="center"/>
    </xf>
    <xf numFmtId="14" fontId="19" fillId="26" borderId="0" xfId="0" applyNumberFormat="1" applyFont="1" applyFill="1" applyBorder="1" applyAlignment="1" applyProtection="1">
      <alignment horizontal="center"/>
    </xf>
    <xf numFmtId="0" fontId="27" fillId="25" borderId="0" xfId="0" applyFont="1" applyFill="1" applyProtection="1"/>
    <xf numFmtId="0" fontId="19" fillId="25" borderId="0" xfId="0" applyFont="1" applyFill="1" applyAlignment="1" applyProtection="1">
      <alignment vertical="center" wrapText="1"/>
    </xf>
    <xf numFmtId="0" fontId="19" fillId="30" borderId="10" xfId="0" applyFont="1" applyFill="1" applyBorder="1" applyAlignment="1" applyProtection="1">
      <alignment horizontal="center" vertical="center" wrapText="1"/>
      <protection locked="0"/>
    </xf>
    <xf numFmtId="0" fontId="19" fillId="35" borderId="10" xfId="0" applyFont="1" applyFill="1" applyBorder="1" applyAlignment="1" applyProtection="1"/>
    <xf numFmtId="14" fontId="19" fillId="31" borderId="10" xfId="0" applyNumberFormat="1" applyFont="1" applyFill="1" applyBorder="1" applyAlignment="1" applyProtection="1">
      <alignment horizontal="center"/>
    </xf>
    <xf numFmtId="49" fontId="19" fillId="30" borderId="13" xfId="0" applyNumberFormat="1" applyFont="1" applyFill="1" applyBorder="1" applyAlignment="1" applyProtection="1">
      <alignment horizontal="left" vertical="center" wrapText="1"/>
      <protection locked="0"/>
    </xf>
    <xf numFmtId="0" fontId="20" fillId="31" borderId="13" xfId="0" applyFont="1" applyFill="1" applyBorder="1" applyAlignment="1" applyProtection="1">
      <alignment horizontal="right"/>
    </xf>
    <xf numFmtId="49" fontId="19" fillId="31" borderId="10" xfId="0" applyNumberFormat="1" applyFont="1" applyFill="1" applyBorder="1" applyAlignment="1" applyProtection="1">
      <alignment horizontal="center"/>
    </xf>
    <xf numFmtId="39" fontId="19" fillId="32" borderId="10" xfId="0" applyNumberFormat="1" applyFont="1" applyFill="1" applyBorder="1" applyAlignment="1" applyProtection="1">
      <alignment vertical="center" wrapText="1"/>
      <protection locked="0"/>
    </xf>
    <xf numFmtId="0" fontId="35" fillId="0" borderId="0" xfId="0" applyFont="1"/>
    <xf numFmtId="0" fontId="36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18" xfId="0" applyFont="1" applyBorder="1" applyAlignment="1">
      <alignment horizontal="center" vertical="center" wrapText="1"/>
    </xf>
    <xf numFmtId="0" fontId="38" fillId="0" borderId="23" xfId="0" applyFont="1" applyBorder="1" applyAlignment="1">
      <alignment horizontal="center" vertical="center" wrapText="1"/>
    </xf>
    <xf numFmtId="167" fontId="38" fillId="0" borderId="18" xfId="43" applyNumberFormat="1" applyFont="1" applyBorder="1" applyAlignment="1">
      <alignment horizontal="center" vertical="center" wrapText="1"/>
    </xf>
    <xf numFmtId="167" fontId="38" fillId="0" borderId="18" xfId="0" applyNumberFormat="1" applyFont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 wrapText="1"/>
    </xf>
    <xf numFmtId="167" fontId="39" fillId="0" borderId="18" xfId="0" applyNumberFormat="1" applyFont="1" applyBorder="1" applyAlignment="1">
      <alignment horizontal="center" vertical="center"/>
    </xf>
    <xf numFmtId="0" fontId="37" fillId="37" borderId="22" xfId="0" applyFont="1" applyFill="1" applyBorder="1" applyAlignment="1">
      <alignment horizontal="center" vertical="center" wrapText="1"/>
    </xf>
    <xf numFmtId="0" fontId="38" fillId="0" borderId="0" xfId="0" applyFont="1" applyBorder="1" applyAlignment="1">
      <alignment vertical="center" wrapText="1"/>
    </xf>
    <xf numFmtId="167" fontId="38" fillId="0" borderId="23" xfId="43" applyNumberFormat="1" applyFont="1" applyBorder="1" applyAlignment="1">
      <alignment horizontal="center" vertical="center" wrapText="1"/>
    </xf>
    <xf numFmtId="167" fontId="38" fillId="0" borderId="23" xfId="0" applyNumberFormat="1" applyFont="1" applyBorder="1" applyAlignment="1">
      <alignment horizontal="center" vertical="center"/>
    </xf>
    <xf numFmtId="167" fontId="39" fillId="0" borderId="22" xfId="0" applyNumberFormat="1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2" fillId="38" borderId="18" xfId="0" applyFont="1" applyFill="1" applyBorder="1" applyAlignment="1">
      <alignment horizontal="center" vertical="center" wrapText="1"/>
    </xf>
    <xf numFmtId="0" fontId="42" fillId="37" borderId="18" xfId="0" applyFont="1" applyFill="1" applyBorder="1" applyAlignment="1">
      <alignment horizontal="center" vertical="center" wrapText="1"/>
    </xf>
    <xf numFmtId="0" fontId="41" fillId="0" borderId="18" xfId="0" applyFont="1" applyBorder="1" applyAlignment="1">
      <alignment horizontal="center" vertical="center" wrapText="1"/>
    </xf>
    <xf numFmtId="164" fontId="41" fillId="0" borderId="18" xfId="43" applyFont="1" applyBorder="1" applyAlignment="1">
      <alignment horizontal="center" vertical="center" wrapText="1"/>
    </xf>
    <xf numFmtId="164" fontId="41" fillId="0" borderId="18" xfId="0" applyNumberFormat="1" applyFont="1" applyBorder="1" applyAlignment="1">
      <alignment horizontal="center" vertical="center"/>
    </xf>
    <xf numFmtId="0" fontId="41" fillId="0" borderId="18" xfId="0" applyFont="1" applyBorder="1" applyAlignment="1">
      <alignment horizontal="center" vertical="center"/>
    </xf>
    <xf numFmtId="0" fontId="43" fillId="0" borderId="18" xfId="0" applyFont="1" applyFill="1" applyBorder="1" applyAlignment="1">
      <alignment horizontal="center" vertical="center" wrapText="1"/>
    </xf>
    <xf numFmtId="164" fontId="40" fillId="0" borderId="18" xfId="43" applyFont="1" applyFill="1" applyBorder="1" applyAlignment="1">
      <alignment horizontal="center" vertical="center" wrapText="1"/>
    </xf>
    <xf numFmtId="164" fontId="40" fillId="0" borderId="18" xfId="0" applyNumberFormat="1" applyFont="1" applyBorder="1" applyAlignment="1">
      <alignment horizontal="center" vertical="center"/>
    </xf>
    <xf numFmtId="0" fontId="41" fillId="0" borderId="18" xfId="0" applyFont="1" applyFill="1" applyBorder="1" applyAlignment="1">
      <alignment horizontal="center" vertical="center" wrapText="1"/>
    </xf>
    <xf numFmtId="164" fontId="41" fillId="0" borderId="18" xfId="43" applyFont="1" applyFill="1" applyBorder="1" applyAlignment="1">
      <alignment horizontal="center" vertical="center" wrapText="1"/>
    </xf>
    <xf numFmtId="164" fontId="41" fillId="0" borderId="18" xfId="0" applyNumberFormat="1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0" fontId="40" fillId="0" borderId="18" xfId="0" applyFont="1" applyBorder="1" applyAlignment="1">
      <alignment horizontal="center" vertical="center"/>
    </xf>
    <xf numFmtId="0" fontId="41" fillId="0" borderId="18" xfId="0" applyFont="1" applyBorder="1" applyAlignment="1">
      <alignment horizontal="left" vertical="center" wrapText="1"/>
    </xf>
    <xf numFmtId="0" fontId="43" fillId="0" borderId="18" xfId="0" applyFont="1" applyFill="1" applyBorder="1" applyAlignment="1">
      <alignment horizontal="left" vertical="center" wrapText="1"/>
    </xf>
    <xf numFmtId="0" fontId="41" fillId="0" borderId="18" xfId="0" applyFont="1" applyFill="1" applyBorder="1" applyAlignment="1">
      <alignment horizontal="left" vertical="center" wrapText="1"/>
    </xf>
    <xf numFmtId="164" fontId="41" fillId="0" borderId="0" xfId="0" applyNumberFormat="1" applyFont="1" applyAlignment="1">
      <alignment horizontal="center" vertical="center"/>
    </xf>
    <xf numFmtId="0" fontId="40" fillId="0" borderId="18" xfId="0" applyFont="1" applyBorder="1" applyAlignment="1">
      <alignment horizontal="center" vertical="center" wrapText="1"/>
    </xf>
    <xf numFmtId="167" fontId="35" fillId="0" borderId="18" xfId="43" applyNumberFormat="1" applyFont="1" applyBorder="1" applyAlignment="1">
      <alignment horizontal="center" vertical="center" wrapText="1"/>
    </xf>
    <xf numFmtId="0" fontId="46" fillId="37" borderId="18" xfId="0" applyFont="1" applyFill="1" applyBorder="1" applyAlignment="1">
      <alignment horizontal="center" vertical="center" wrapText="1"/>
    </xf>
    <xf numFmtId="164" fontId="46" fillId="37" borderId="18" xfId="43" applyFont="1" applyFill="1" applyBorder="1" applyAlignment="1">
      <alignment horizontal="center" vertical="center" wrapText="1"/>
    </xf>
    <xf numFmtId="0" fontId="41" fillId="0" borderId="23" xfId="0" applyFont="1" applyBorder="1" applyAlignment="1">
      <alignment horizontal="left" vertical="center" wrapText="1"/>
    </xf>
    <xf numFmtId="0" fontId="41" fillId="0" borderId="23" xfId="0" applyFont="1" applyBorder="1" applyAlignment="1">
      <alignment horizontal="center" vertical="center" wrapText="1"/>
    </xf>
    <xf numFmtId="164" fontId="41" fillId="0" borderId="23" xfId="43" applyFont="1" applyBorder="1" applyAlignment="1">
      <alignment horizontal="center" vertical="center" wrapText="1"/>
    </xf>
    <xf numFmtId="164" fontId="40" fillId="0" borderId="0" xfId="0" applyNumberFormat="1" applyFont="1" applyAlignment="1">
      <alignment horizontal="center" vertical="center"/>
    </xf>
    <xf numFmtId="9" fontId="40" fillId="0" borderId="18" xfId="0" applyNumberFormat="1" applyFont="1" applyFill="1" applyBorder="1" applyAlignment="1">
      <alignment horizontal="center" vertical="center"/>
    </xf>
    <xf numFmtId="44" fontId="41" fillId="0" borderId="0" xfId="0" applyNumberFormat="1" applyFont="1" applyAlignment="1">
      <alignment horizontal="center" vertical="center"/>
    </xf>
    <xf numFmtId="0" fontId="44" fillId="41" borderId="18" xfId="0" applyFont="1" applyFill="1" applyBorder="1" applyAlignment="1">
      <alignment horizontal="center" vertical="center" wrapText="1"/>
    </xf>
    <xf numFmtId="0" fontId="47" fillId="37" borderId="18" xfId="0" applyFont="1" applyFill="1" applyBorder="1" applyAlignment="1">
      <alignment horizontal="center" vertical="center" wrapText="1"/>
    </xf>
    <xf numFmtId="164" fontId="47" fillId="37" borderId="18" xfId="43" applyFont="1" applyFill="1" applyBorder="1" applyAlignment="1">
      <alignment horizontal="center" vertical="center" wrapText="1"/>
    </xf>
    <xf numFmtId="44" fontId="44" fillId="41" borderId="18" xfId="0" applyNumberFormat="1" applyFont="1" applyFill="1" applyBorder="1" applyAlignment="1">
      <alignment horizontal="center" vertical="center"/>
    </xf>
    <xf numFmtId="0" fontId="44" fillId="37" borderId="21" xfId="0" applyFont="1" applyFill="1" applyBorder="1" applyAlignment="1">
      <alignment horizontal="center" vertical="center"/>
    </xf>
    <xf numFmtId="49" fontId="19" fillId="30" borderId="13" xfId="0" applyNumberFormat="1" applyFont="1" applyFill="1" applyBorder="1" applyAlignment="1" applyProtection="1">
      <alignment horizontal="center"/>
      <protection locked="0"/>
    </xf>
    <xf numFmtId="49" fontId="19" fillId="30" borderId="12" xfId="0" applyNumberFormat="1" applyFont="1" applyFill="1" applyBorder="1" applyAlignment="1" applyProtection="1">
      <alignment horizontal="center"/>
      <protection locked="0"/>
    </xf>
    <xf numFmtId="0" fontId="25" fillId="27" borderId="15" xfId="0" applyFont="1" applyFill="1" applyBorder="1" applyAlignment="1" applyProtection="1">
      <alignment horizontal="left"/>
    </xf>
    <xf numFmtId="0" fontId="19" fillId="31" borderId="10" xfId="0" applyFont="1" applyFill="1" applyBorder="1" applyAlignment="1" applyProtection="1">
      <alignment horizontal="left"/>
    </xf>
    <xf numFmtId="0" fontId="19" fillId="30" borderId="10" xfId="0" applyFont="1" applyFill="1" applyBorder="1" applyAlignment="1" applyProtection="1">
      <alignment horizontal="right"/>
      <protection locked="0"/>
    </xf>
    <xf numFmtId="0" fontId="19" fillId="36" borderId="10" xfId="0" applyFont="1" applyFill="1" applyBorder="1" applyAlignment="1" applyProtection="1">
      <alignment horizontal="left"/>
    </xf>
    <xf numFmtId="0" fontId="19" fillId="30" borderId="10" xfId="0" applyFont="1" applyFill="1" applyBorder="1" applyAlignment="1" applyProtection="1">
      <alignment horizontal="left" vertical="center"/>
      <protection locked="0"/>
    </xf>
    <xf numFmtId="0" fontId="19" fillId="31" borderId="13" xfId="0" applyFont="1" applyFill="1" applyBorder="1" applyAlignment="1" applyProtection="1">
      <alignment horizontal="left" vertical="center" wrapText="1"/>
    </xf>
    <xf numFmtId="0" fontId="19" fillId="31" borderId="14" xfId="0" applyFont="1" applyFill="1" applyBorder="1" applyAlignment="1" applyProtection="1">
      <alignment horizontal="left" vertical="center" wrapText="1"/>
    </xf>
    <xf numFmtId="0" fontId="19" fillId="31" borderId="12" xfId="0" applyFont="1" applyFill="1" applyBorder="1" applyAlignment="1" applyProtection="1">
      <alignment horizontal="left" vertical="center" wrapText="1"/>
    </xf>
    <xf numFmtId="0" fontId="20" fillId="30" borderId="13" xfId="0" applyFont="1" applyFill="1" applyBorder="1" applyAlignment="1" applyProtection="1">
      <alignment horizontal="left"/>
      <protection locked="0"/>
    </xf>
    <xf numFmtId="0" fontId="20" fillId="30" borderId="14" xfId="0" applyFont="1" applyFill="1" applyBorder="1" applyAlignment="1" applyProtection="1">
      <alignment horizontal="left"/>
      <protection locked="0"/>
    </xf>
    <xf numFmtId="0" fontId="20" fillId="30" borderId="12" xfId="0" applyFont="1" applyFill="1" applyBorder="1" applyAlignment="1" applyProtection="1">
      <alignment horizontal="left"/>
      <protection locked="0"/>
    </xf>
    <xf numFmtId="0" fontId="27" fillId="25" borderId="0" xfId="0" applyFont="1" applyFill="1" applyBorder="1" applyAlignment="1" applyProtection="1">
      <alignment horizontal="center"/>
    </xf>
    <xf numFmtId="0" fontId="19" fillId="30" borderId="10" xfId="0" applyFont="1" applyFill="1" applyBorder="1" applyAlignment="1" applyProtection="1">
      <alignment horizontal="center"/>
      <protection locked="0"/>
    </xf>
    <xf numFmtId="0" fontId="19" fillId="35" borderId="10" xfId="0" applyFont="1" applyFill="1" applyBorder="1" applyAlignment="1" applyProtection="1">
      <alignment horizontal="left"/>
    </xf>
    <xf numFmtId="0" fontId="25" fillId="28" borderId="13" xfId="0" applyFont="1" applyFill="1" applyBorder="1" applyAlignment="1" applyProtection="1">
      <alignment horizontal="left" vertical="center" wrapText="1"/>
    </xf>
    <xf numFmtId="0" fontId="25" fillId="28" borderId="12" xfId="0" applyFont="1" applyFill="1" applyBorder="1" applyAlignment="1" applyProtection="1">
      <alignment horizontal="left" vertical="center" wrapText="1"/>
    </xf>
    <xf numFmtId="0" fontId="19" fillId="29" borderId="10" xfId="0" applyFont="1" applyFill="1" applyBorder="1" applyAlignment="1" applyProtection="1">
      <alignment horizontal="left"/>
    </xf>
    <xf numFmtId="0" fontId="19" fillId="32" borderId="10" xfId="0" applyFont="1" applyFill="1" applyBorder="1" applyAlignment="1" applyProtection="1">
      <alignment horizontal="center"/>
      <protection locked="0"/>
    </xf>
    <xf numFmtId="39" fontId="19" fillId="32" borderId="10" xfId="0" applyNumberFormat="1" applyFont="1" applyFill="1" applyBorder="1" applyAlignment="1" applyProtection="1">
      <alignment horizontal="left" vertical="center" wrapText="1"/>
      <protection locked="0"/>
    </xf>
    <xf numFmtId="0" fontId="19" fillId="25" borderId="0" xfId="0" applyFont="1" applyFill="1" applyAlignment="1" applyProtection="1">
      <alignment horizontal="justify" vertical="center" wrapText="1"/>
    </xf>
    <xf numFmtId="0" fontId="19" fillId="35" borderId="13" xfId="0" applyFont="1" applyFill="1" applyBorder="1" applyAlignment="1" applyProtection="1">
      <alignment horizontal="left" vertical="center" wrapText="1"/>
    </xf>
    <xf numFmtId="0" fontId="19" fillId="35" borderId="14" xfId="0" applyFont="1" applyFill="1" applyBorder="1" applyAlignment="1" applyProtection="1">
      <alignment horizontal="left" vertical="center" wrapText="1"/>
    </xf>
    <xf numFmtId="0" fontId="19" fillId="35" borderId="12" xfId="0" applyFont="1" applyFill="1" applyBorder="1" applyAlignment="1" applyProtection="1">
      <alignment horizontal="left" vertical="center" wrapText="1"/>
    </xf>
    <xf numFmtId="0" fontId="19" fillId="29" borderId="13" xfId="0" applyFont="1" applyFill="1" applyBorder="1" applyAlignment="1" applyProtection="1">
      <alignment horizontal="left" vertical="center" wrapText="1"/>
    </xf>
    <xf numFmtId="0" fontId="19" fillId="29" borderId="14" xfId="0" applyFont="1" applyFill="1" applyBorder="1" applyAlignment="1" applyProtection="1">
      <alignment horizontal="left" vertical="center" wrapText="1"/>
    </xf>
    <xf numFmtId="0" fontId="19" fillId="29" borderId="12" xfId="0" applyFont="1" applyFill="1" applyBorder="1" applyAlignment="1" applyProtection="1">
      <alignment horizontal="left" vertical="center" wrapText="1"/>
    </xf>
    <xf numFmtId="0" fontId="31" fillId="25" borderId="0" xfId="0" applyFont="1" applyFill="1" applyBorder="1" applyAlignment="1" applyProtection="1">
      <alignment horizontal="left" wrapText="1"/>
    </xf>
    <xf numFmtId="39" fontId="19" fillId="32" borderId="13" xfId="0" applyNumberFormat="1" applyFont="1" applyFill="1" applyBorder="1" applyAlignment="1" applyProtection="1">
      <alignment horizontal="left" vertical="center" wrapText="1"/>
      <protection locked="0"/>
    </xf>
    <xf numFmtId="39" fontId="19" fillId="32" borderId="12" xfId="0" applyNumberFormat="1" applyFont="1" applyFill="1" applyBorder="1" applyAlignment="1" applyProtection="1">
      <alignment horizontal="left" vertical="center" wrapText="1"/>
      <protection locked="0"/>
    </xf>
    <xf numFmtId="0" fontId="25" fillId="27" borderId="13" xfId="0" applyFont="1" applyFill="1" applyBorder="1" applyAlignment="1" applyProtection="1">
      <alignment horizontal="left" vertical="center"/>
    </xf>
    <xf numFmtId="0" fontId="25" fillId="27" borderId="14" xfId="0" applyFont="1" applyFill="1" applyBorder="1" applyAlignment="1" applyProtection="1">
      <alignment horizontal="left" vertical="center"/>
    </xf>
    <xf numFmtId="0" fontId="25" fillId="27" borderId="12" xfId="0" applyFont="1" applyFill="1" applyBorder="1" applyAlignment="1" applyProtection="1">
      <alignment horizontal="left" vertical="center"/>
    </xf>
    <xf numFmtId="0" fontId="25" fillId="28" borderId="11" xfId="0" applyFont="1" applyFill="1" applyBorder="1" applyAlignment="1" applyProtection="1">
      <alignment horizontal="left" vertical="center" wrapText="1"/>
    </xf>
    <xf numFmtId="0" fontId="19" fillId="35" borderId="11" xfId="0" applyFont="1" applyFill="1" applyBorder="1" applyAlignment="1" applyProtection="1">
      <alignment horizontal="left" vertical="center" wrapText="1"/>
    </xf>
    <xf numFmtId="0" fontId="19" fillId="29" borderId="11" xfId="0" applyFont="1" applyFill="1" applyBorder="1" applyAlignment="1" applyProtection="1">
      <alignment horizontal="left" vertical="center" wrapText="1"/>
    </xf>
    <xf numFmtId="4" fontId="19" fillId="33" borderId="13" xfId="0" applyNumberFormat="1" applyFont="1" applyFill="1" applyBorder="1" applyAlignment="1" applyProtection="1">
      <alignment horizontal="left" vertical="center" wrapText="1"/>
      <protection locked="0"/>
    </xf>
    <xf numFmtId="4" fontId="19" fillId="33" borderId="14" xfId="0" applyNumberFormat="1" applyFont="1" applyFill="1" applyBorder="1" applyAlignment="1" applyProtection="1">
      <alignment horizontal="left" vertical="center" wrapText="1"/>
      <protection locked="0"/>
    </xf>
    <xf numFmtId="4" fontId="19" fillId="33" borderId="12" xfId="0" applyNumberFormat="1" applyFont="1" applyFill="1" applyBorder="1" applyAlignment="1" applyProtection="1">
      <alignment horizontal="left" vertical="center" wrapText="1"/>
      <protection locked="0"/>
    </xf>
    <xf numFmtId="0" fontId="25" fillId="27" borderId="10" xfId="0" applyFont="1" applyFill="1" applyBorder="1" applyAlignment="1" applyProtection="1">
      <alignment horizontal="left" vertical="center"/>
    </xf>
    <xf numFmtId="39" fontId="19" fillId="35" borderId="10" xfId="0" applyNumberFormat="1" applyFont="1" applyFill="1" applyBorder="1" applyAlignment="1" applyProtection="1">
      <alignment horizontal="left" vertical="center" wrapText="1"/>
    </xf>
    <xf numFmtId="0" fontId="25" fillId="27" borderId="13" xfId="0" applyFont="1" applyFill="1" applyBorder="1" applyAlignment="1" applyProtection="1">
      <alignment horizontal="left" vertical="center" wrapText="1"/>
    </xf>
    <xf numFmtId="0" fontId="25" fillId="27" borderId="14" xfId="0" applyFont="1" applyFill="1" applyBorder="1" applyAlignment="1" applyProtection="1">
      <alignment horizontal="left" vertical="center" wrapText="1"/>
    </xf>
    <xf numFmtId="0" fontId="25" fillId="27" borderId="12" xfId="0" applyFont="1" applyFill="1" applyBorder="1" applyAlignment="1" applyProtection="1">
      <alignment horizontal="left" vertical="center" wrapText="1"/>
    </xf>
    <xf numFmtId="39" fontId="19" fillId="29" borderId="13" xfId="0" applyNumberFormat="1" applyFont="1" applyFill="1" applyBorder="1" applyAlignment="1" applyProtection="1">
      <alignment horizontal="left" vertical="center" wrapText="1"/>
    </xf>
    <xf numFmtId="39" fontId="19" fillId="29" borderId="14" xfId="0" applyNumberFormat="1" applyFont="1" applyFill="1" applyBorder="1" applyAlignment="1" applyProtection="1">
      <alignment horizontal="left" vertical="center" wrapText="1"/>
    </xf>
    <xf numFmtId="39" fontId="19" fillId="29" borderId="12" xfId="0" applyNumberFormat="1" applyFont="1" applyFill="1" applyBorder="1" applyAlignment="1" applyProtection="1">
      <alignment horizontal="left" vertical="center" wrapText="1"/>
    </xf>
    <xf numFmtId="0" fontId="25" fillId="28" borderId="10" xfId="0" applyFont="1" applyFill="1" applyBorder="1" applyAlignment="1" applyProtection="1">
      <alignment horizontal="left" vertical="center" wrapText="1"/>
    </xf>
    <xf numFmtId="0" fontId="19" fillId="29" borderId="13" xfId="0" applyFont="1" applyFill="1" applyBorder="1" applyAlignment="1" applyProtection="1">
      <alignment horizontal="left" vertical="center"/>
    </xf>
    <xf numFmtId="0" fontId="19" fillId="29" borderId="14" xfId="0" applyFont="1" applyFill="1" applyBorder="1" applyAlignment="1" applyProtection="1">
      <alignment horizontal="left" vertical="center"/>
    </xf>
    <xf numFmtId="0" fontId="19" fillId="29" borderId="12" xfId="0" applyFont="1" applyFill="1" applyBorder="1" applyAlignment="1" applyProtection="1">
      <alignment horizontal="left" vertical="center"/>
    </xf>
    <xf numFmtId="39" fontId="19" fillId="29" borderId="10" xfId="0" applyNumberFormat="1" applyFont="1" applyFill="1" applyBorder="1" applyAlignment="1" applyProtection="1">
      <alignment horizontal="left" vertical="center" wrapText="1"/>
    </xf>
    <xf numFmtId="0" fontId="19" fillId="29" borderId="10" xfId="0" applyFont="1" applyFill="1" applyBorder="1" applyAlignment="1" applyProtection="1">
      <alignment horizontal="left" vertical="center" wrapText="1"/>
    </xf>
    <xf numFmtId="0" fontId="25" fillId="27" borderId="10" xfId="0" applyFont="1" applyFill="1" applyBorder="1" applyAlignment="1" applyProtection="1">
      <alignment horizontal="justify" vertical="center" wrapText="1"/>
    </xf>
    <xf numFmtId="0" fontId="19" fillId="35" borderId="10" xfId="0" applyFont="1" applyFill="1" applyBorder="1" applyAlignment="1" applyProtection="1">
      <alignment horizontal="left" vertical="center" wrapText="1"/>
    </xf>
    <xf numFmtId="0" fontId="19" fillId="35" borderId="10" xfId="0" applyFont="1" applyFill="1" applyBorder="1" applyAlignment="1" applyProtection="1">
      <alignment horizontal="justify" vertical="center"/>
    </xf>
    <xf numFmtId="0" fontId="19" fillId="29" borderId="10" xfId="0" applyFont="1" applyFill="1" applyBorder="1" applyAlignment="1" applyProtection="1">
      <alignment horizontal="justify" vertical="center"/>
    </xf>
    <xf numFmtId="0" fontId="25" fillId="27" borderId="10" xfId="0" applyFont="1" applyFill="1" applyBorder="1" applyAlignment="1" applyProtection="1">
      <alignment horizontal="left" vertical="center" wrapText="1"/>
    </xf>
    <xf numFmtId="0" fontId="31" fillId="25" borderId="17" xfId="0" applyFont="1" applyFill="1" applyBorder="1" applyAlignment="1" applyProtection="1">
      <alignment horizontal="left" vertical="center" wrapText="1"/>
    </xf>
    <xf numFmtId="0" fontId="24" fillId="29" borderId="10" xfId="0" applyFont="1" applyFill="1" applyBorder="1" applyAlignment="1" applyProtection="1">
      <alignment horizontal="left" vertical="center" wrapText="1" indent="1"/>
    </xf>
    <xf numFmtId="0" fontId="24" fillId="35" borderId="10" xfId="0" applyFont="1" applyFill="1" applyBorder="1" applyAlignment="1" applyProtection="1">
      <alignment horizontal="left" vertical="center" wrapText="1" indent="1"/>
    </xf>
    <xf numFmtId="0" fontId="25" fillId="34" borderId="11" xfId="0" applyFont="1" applyFill="1" applyBorder="1" applyAlignment="1" applyProtection="1">
      <alignment horizontal="left" vertical="center" wrapText="1"/>
    </xf>
    <xf numFmtId="4" fontId="19" fillId="29" borderId="10" xfId="0" applyNumberFormat="1" applyFont="1" applyFill="1" applyBorder="1" applyAlignment="1" applyProtection="1">
      <alignment horizontal="left" vertical="center" wrapText="1"/>
    </xf>
    <xf numFmtId="4" fontId="19" fillId="29" borderId="11" xfId="0" applyNumberFormat="1" applyFont="1" applyFill="1" applyBorder="1" applyAlignment="1" applyProtection="1">
      <alignment horizontal="left" vertical="center" wrapText="1"/>
    </xf>
    <xf numFmtId="39" fontId="19" fillId="35" borderId="13" xfId="0" applyNumberFormat="1" applyFont="1" applyFill="1" applyBorder="1" applyAlignment="1" applyProtection="1">
      <alignment horizontal="left" vertical="center" wrapText="1"/>
    </xf>
    <xf numFmtId="39" fontId="19" fillId="35" borderId="14" xfId="0" applyNumberFormat="1" applyFont="1" applyFill="1" applyBorder="1" applyAlignment="1" applyProtection="1">
      <alignment horizontal="left" vertical="center" wrapText="1"/>
    </xf>
    <xf numFmtId="39" fontId="19" fillId="35" borderId="12" xfId="0" applyNumberFormat="1" applyFont="1" applyFill="1" applyBorder="1" applyAlignment="1" applyProtection="1">
      <alignment horizontal="left" vertical="center" wrapText="1"/>
    </xf>
    <xf numFmtId="0" fontId="25" fillId="34" borderId="10" xfId="0" applyFont="1" applyFill="1" applyBorder="1" applyAlignment="1" applyProtection="1">
      <alignment horizontal="left" vertical="center" wrapText="1"/>
    </xf>
    <xf numFmtId="0" fontId="31" fillId="25" borderId="0" xfId="0" applyFont="1" applyFill="1" applyBorder="1" applyAlignment="1" applyProtection="1">
      <alignment horizontal="justify" vertical="center" wrapText="1"/>
    </xf>
    <xf numFmtId="0" fontId="19" fillId="29" borderId="10" xfId="0" applyFont="1" applyFill="1" applyBorder="1" applyAlignment="1" applyProtection="1">
      <alignment horizontal="center"/>
    </xf>
    <xf numFmtId="0" fontId="19" fillId="35" borderId="10" xfId="0" applyFont="1" applyFill="1" applyBorder="1" applyAlignment="1" applyProtection="1">
      <alignment horizontal="center"/>
    </xf>
    <xf numFmtId="0" fontId="34" fillId="25" borderId="16" xfId="0" applyFont="1" applyFill="1" applyBorder="1" applyAlignment="1" applyProtection="1">
      <alignment horizontal="center" vertical="center"/>
    </xf>
    <xf numFmtId="0" fontId="19" fillId="35" borderId="10" xfId="0" applyFont="1" applyFill="1" applyBorder="1" applyAlignment="1" applyProtection="1">
      <alignment horizontal="left" wrapText="1"/>
    </xf>
    <xf numFmtId="0" fontId="19" fillId="31" borderId="10" xfId="0" applyFont="1" applyFill="1" applyBorder="1" applyAlignment="1" applyProtection="1">
      <alignment horizontal="left" vertical="center"/>
    </xf>
    <xf numFmtId="0" fontId="19" fillId="36" borderId="10" xfId="0" applyFont="1" applyFill="1" applyBorder="1" applyAlignment="1" applyProtection="1">
      <alignment horizontal="left" vertical="center"/>
    </xf>
    <xf numFmtId="0" fontId="19" fillId="31" borderId="10" xfId="0" applyFont="1" applyFill="1" applyBorder="1" applyAlignment="1" applyProtection="1">
      <alignment horizontal="right"/>
    </xf>
    <xf numFmtId="0" fontId="33" fillId="0" borderId="0" xfId="0" applyFont="1" applyBorder="1" applyAlignment="1" applyProtection="1">
      <alignment horizontal="center"/>
    </xf>
    <xf numFmtId="0" fontId="20" fillId="36" borderId="13" xfId="0" applyFont="1" applyFill="1" applyBorder="1" applyAlignment="1" applyProtection="1">
      <alignment horizontal="left"/>
    </xf>
    <xf numFmtId="0" fontId="20" fillId="36" borderId="14" xfId="0" applyFont="1" applyFill="1" applyBorder="1" applyAlignment="1" applyProtection="1">
      <alignment horizontal="left"/>
    </xf>
    <xf numFmtId="0" fontId="20" fillId="36" borderId="12" xfId="0" applyFont="1" applyFill="1" applyBorder="1" applyAlignment="1" applyProtection="1">
      <alignment horizontal="left"/>
    </xf>
    <xf numFmtId="0" fontId="20" fillId="31" borderId="13" xfId="0" applyFont="1" applyFill="1" applyBorder="1" applyAlignment="1" applyProtection="1">
      <alignment horizontal="left"/>
    </xf>
    <xf numFmtId="0" fontId="20" fillId="31" borderId="14" xfId="0" applyFont="1" applyFill="1" applyBorder="1" applyAlignment="1" applyProtection="1">
      <alignment horizontal="left"/>
    </xf>
    <xf numFmtId="0" fontId="20" fillId="31" borderId="12" xfId="0" applyFont="1" applyFill="1" applyBorder="1" applyAlignment="1" applyProtection="1">
      <alignment horizontal="left"/>
    </xf>
    <xf numFmtId="0" fontId="19" fillId="36" borderId="10" xfId="0" applyFont="1" applyFill="1" applyBorder="1" applyAlignment="1" applyProtection="1">
      <alignment horizontal="center"/>
    </xf>
    <xf numFmtId="0" fontId="39" fillId="37" borderId="19" xfId="0" applyFont="1" applyFill="1" applyBorder="1" applyAlignment="1">
      <alignment horizontal="right" vertical="center" wrapText="1"/>
    </xf>
    <xf numFmtId="0" fontId="39" fillId="37" borderId="20" xfId="0" applyFont="1" applyFill="1" applyBorder="1" applyAlignment="1">
      <alignment horizontal="right" vertical="center" wrapText="1"/>
    </xf>
    <xf numFmtId="0" fontId="39" fillId="37" borderId="21" xfId="0" applyFont="1" applyFill="1" applyBorder="1" applyAlignment="1">
      <alignment horizontal="right" vertical="center" wrapText="1"/>
    </xf>
    <xf numFmtId="0" fontId="37" fillId="37" borderId="18" xfId="0" applyFont="1" applyFill="1" applyBorder="1" applyAlignment="1">
      <alignment horizontal="center" vertical="center" wrapText="1"/>
    </xf>
    <xf numFmtId="0" fontId="37" fillId="39" borderId="18" xfId="0" applyFont="1" applyFill="1" applyBorder="1" applyAlignment="1">
      <alignment horizontal="left" vertical="center" wrapText="1"/>
    </xf>
    <xf numFmtId="0" fontId="39" fillId="39" borderId="18" xfId="0" applyFont="1" applyFill="1" applyBorder="1" applyAlignment="1">
      <alignment horizontal="left" vertical="center" wrapText="1"/>
    </xf>
    <xf numFmtId="0" fontId="42" fillId="37" borderId="18" xfId="0" applyFont="1" applyFill="1" applyBorder="1" applyAlignment="1">
      <alignment horizontal="center" vertical="center" wrapText="1"/>
    </xf>
    <xf numFmtId="0" fontId="45" fillId="40" borderId="19" xfId="0" applyFont="1" applyFill="1" applyBorder="1" applyAlignment="1">
      <alignment horizontal="center" vertical="center"/>
    </xf>
    <xf numFmtId="0" fontId="45" fillId="40" borderId="20" xfId="0" applyFont="1" applyFill="1" applyBorder="1" applyAlignment="1">
      <alignment horizontal="center" vertical="center"/>
    </xf>
    <xf numFmtId="0" fontId="45" fillId="40" borderId="21" xfId="0" applyFont="1" applyFill="1" applyBorder="1" applyAlignment="1">
      <alignment horizontal="center" vertical="center"/>
    </xf>
    <xf numFmtId="0" fontId="42" fillId="42" borderId="18" xfId="0" applyFont="1" applyFill="1" applyBorder="1" applyAlignment="1">
      <alignment horizontal="center" vertical="center" wrapText="1"/>
    </xf>
    <xf numFmtId="164" fontId="41" fillId="42" borderId="23" xfId="0" applyNumberFormat="1" applyFont="1" applyFill="1" applyBorder="1" applyAlignment="1">
      <alignment horizontal="center" vertical="center"/>
    </xf>
    <xf numFmtId="164" fontId="41" fillId="42" borderId="18" xfId="0" applyNumberFormat="1" applyFont="1" applyFill="1" applyBorder="1" applyAlignment="1">
      <alignment horizontal="center" vertical="center"/>
    </xf>
    <xf numFmtId="0" fontId="42" fillId="43" borderId="18" xfId="0" applyFont="1" applyFill="1" applyBorder="1" applyAlignment="1">
      <alignment horizontal="center" vertical="center" wrapText="1"/>
    </xf>
    <xf numFmtId="164" fontId="40" fillId="43" borderId="18" xfId="0" applyNumberFormat="1" applyFont="1" applyFill="1" applyBorder="1" applyAlignment="1">
      <alignment horizontal="center" vertical="center"/>
    </xf>
  </cellXfs>
  <cellStyles count="44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Moeda" xfId="43" builtinId="4"/>
    <cellStyle name="Neutro" xfId="31" builtinId="28" customBuiltin="1"/>
    <cellStyle name="Normal" xfId="0" builtinId="0"/>
    <cellStyle name="Nota" xfId="32" builtinId="10" customBuiltin="1"/>
    <cellStyle name="Ruim" xfId="30" builtinId="27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 1" xfId="36" builtinId="16" customBuiltin="1"/>
    <cellStyle name="Título 1 1" xfId="37" xr:uid="{00000000-0005-0000-0000-000026000000}"/>
    <cellStyle name="Título 1 1 1" xfId="38" xr:uid="{00000000-0005-0000-0000-000027000000}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4"/>
  <sheetViews>
    <sheetView workbookViewId="0"/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9.5703125" style="13" customWidth="1"/>
    <col min="5" max="5" width="13.5703125" style="13" customWidth="1"/>
    <col min="6" max="6" width="15.42578125" style="13" bestFit="1" customWidth="1"/>
    <col min="7" max="16384" width="9.140625" style="7"/>
  </cols>
  <sheetData>
    <row r="1" spans="1:6" ht="20.25" x14ac:dyDescent="0.35">
      <c r="B1" s="171" t="s">
        <v>145</v>
      </c>
      <c r="C1" s="172"/>
      <c r="D1" s="172"/>
      <c r="E1" s="172"/>
      <c r="F1" s="173"/>
    </row>
    <row r="2" spans="1:6" ht="20.25" x14ac:dyDescent="0.35">
      <c r="B2" s="171" t="s">
        <v>146</v>
      </c>
      <c r="C2" s="172"/>
      <c r="D2" s="173"/>
      <c r="E2" s="107" t="s">
        <v>51</v>
      </c>
      <c r="F2" s="72" t="s">
        <v>147</v>
      </c>
    </row>
    <row r="3" spans="1:6" x14ac:dyDescent="0.3">
      <c r="B3" s="81"/>
      <c r="C3" s="81"/>
      <c r="D3" s="81"/>
      <c r="E3" s="81"/>
      <c r="F3" s="81"/>
    </row>
    <row r="4" spans="1:6" s="81" customFormat="1" ht="25.5" x14ac:dyDescent="0.5">
      <c r="B4" s="174" t="s">
        <v>158</v>
      </c>
      <c r="C4" s="174"/>
      <c r="D4" s="174"/>
      <c r="E4" s="174"/>
      <c r="F4" s="174"/>
    </row>
    <row r="5" spans="1:6" s="81" customFormat="1" ht="15.95" customHeight="1" x14ac:dyDescent="0.3">
      <c r="B5" s="163" t="s">
        <v>91</v>
      </c>
      <c r="C5" s="163"/>
      <c r="D5" s="163"/>
      <c r="E5" s="163"/>
      <c r="F5" s="163"/>
    </row>
    <row r="6" spans="1:6" s="81" customFormat="1" ht="15.95" customHeight="1" x14ac:dyDescent="0.3">
      <c r="B6" s="166" t="s">
        <v>30</v>
      </c>
      <c r="C6" s="166"/>
      <c r="D6" s="175" t="s">
        <v>297</v>
      </c>
      <c r="E6" s="175"/>
      <c r="F6" s="175"/>
    </row>
    <row r="7" spans="1:6" s="81" customFormat="1" ht="15.75" customHeight="1" x14ac:dyDescent="0.3">
      <c r="B7" s="164" t="s">
        <v>31</v>
      </c>
      <c r="C7" s="164"/>
      <c r="D7" s="165" t="s">
        <v>32</v>
      </c>
      <c r="E7" s="165"/>
      <c r="F7" s="18" t="s">
        <v>148</v>
      </c>
    </row>
    <row r="8" spans="1:6" s="81" customFormat="1" ht="15.75" customHeight="1" x14ac:dyDescent="0.3">
      <c r="B8" s="166" t="s">
        <v>106</v>
      </c>
      <c r="C8" s="166"/>
      <c r="D8" s="161" t="s">
        <v>147</v>
      </c>
      <c r="E8" s="162"/>
      <c r="F8" s="18" t="s">
        <v>149</v>
      </c>
    </row>
    <row r="9" spans="1:6" s="82" customFormat="1" ht="9.75" customHeight="1" x14ac:dyDescent="0.3">
      <c r="C9" s="5"/>
      <c r="D9" s="96"/>
      <c r="E9" s="96"/>
      <c r="F9" s="97"/>
    </row>
    <row r="10" spans="1:6" s="82" customFormat="1" ht="15.75" customHeight="1" x14ac:dyDescent="0.3">
      <c r="B10" s="163" t="s">
        <v>105</v>
      </c>
      <c r="C10" s="163"/>
      <c r="D10" s="163"/>
      <c r="E10" s="163"/>
      <c r="F10" s="163"/>
    </row>
    <row r="11" spans="1:6" s="81" customFormat="1" ht="18" customHeight="1" x14ac:dyDescent="0.3">
      <c r="B11" s="19" t="s">
        <v>2</v>
      </c>
      <c r="C11" s="166" t="s">
        <v>57</v>
      </c>
      <c r="D11" s="166"/>
      <c r="E11" s="166"/>
      <c r="F11" s="20" t="s">
        <v>147</v>
      </c>
    </row>
    <row r="12" spans="1:6" s="81" customFormat="1" ht="15.95" customHeight="1" x14ac:dyDescent="0.15">
      <c r="B12" s="1" t="s">
        <v>3</v>
      </c>
      <c r="C12" s="58" t="s">
        <v>33</v>
      </c>
      <c r="D12" s="167"/>
      <c r="E12" s="167"/>
      <c r="F12" s="167"/>
    </row>
    <row r="13" spans="1:6" s="81" customFormat="1" ht="15.95" customHeight="1" x14ac:dyDescent="0.3">
      <c r="B13" s="19" t="s">
        <v>4</v>
      </c>
      <c r="C13" s="166" t="s">
        <v>139</v>
      </c>
      <c r="D13" s="166"/>
      <c r="E13" s="166"/>
      <c r="F13" s="60"/>
    </row>
    <row r="14" spans="1:6" s="81" customFormat="1" ht="18.75" customHeight="1" x14ac:dyDescent="0.3">
      <c r="B14" s="1" t="s">
        <v>5</v>
      </c>
      <c r="C14" s="168" t="s">
        <v>34</v>
      </c>
      <c r="D14" s="169"/>
      <c r="E14" s="170"/>
      <c r="F14" s="18" t="s">
        <v>148</v>
      </c>
    </row>
    <row r="15" spans="1:6" s="81" customFormat="1" ht="15.95" customHeight="1" x14ac:dyDescent="0.3">
      <c r="B15" s="1" t="s">
        <v>6</v>
      </c>
      <c r="C15" s="166" t="s">
        <v>58</v>
      </c>
      <c r="D15" s="166"/>
      <c r="E15" s="166"/>
      <c r="F15" s="86">
        <v>12</v>
      </c>
    </row>
    <row r="16" spans="1:6" s="81" customFormat="1" ht="15.95" customHeight="1" x14ac:dyDescent="0.3">
      <c r="A16" s="82"/>
      <c r="B16" s="82"/>
      <c r="C16" s="5"/>
      <c r="D16" s="96"/>
      <c r="E16" s="96"/>
      <c r="F16" s="97"/>
    </row>
    <row r="17" spans="1:6" s="81" customFormat="1" x14ac:dyDescent="0.3">
      <c r="A17" s="82"/>
      <c r="B17" s="163" t="s">
        <v>107</v>
      </c>
      <c r="C17" s="163"/>
      <c r="D17" s="163"/>
      <c r="E17" s="163"/>
      <c r="F17" s="163"/>
    </row>
    <row r="18" spans="1:6" s="98" customFormat="1" ht="49.5" x14ac:dyDescent="0.2">
      <c r="B18" s="74" t="s">
        <v>140</v>
      </c>
      <c r="C18" s="74" t="s">
        <v>27</v>
      </c>
      <c r="D18" s="57" t="s">
        <v>108</v>
      </c>
      <c r="E18" s="57" t="s">
        <v>159</v>
      </c>
      <c r="F18" s="57" t="s">
        <v>109</v>
      </c>
    </row>
    <row r="19" spans="1:6" s="81" customFormat="1" ht="16.5" customHeight="1" x14ac:dyDescent="0.3">
      <c r="B19" s="19">
        <v>1</v>
      </c>
      <c r="C19" s="106" t="s">
        <v>309</v>
      </c>
      <c r="D19" s="76" t="s">
        <v>298</v>
      </c>
      <c r="E19" s="103">
        <v>1</v>
      </c>
      <c r="F19" s="76">
        <v>7</v>
      </c>
    </row>
    <row r="20" spans="1:6" s="81" customFormat="1" ht="15.95" customHeight="1" x14ac:dyDescent="0.3">
      <c r="B20" s="99"/>
      <c r="C20" s="99"/>
      <c r="D20" s="99"/>
      <c r="E20" s="99"/>
      <c r="F20" s="99"/>
    </row>
    <row r="21" spans="1:6" s="81" customFormat="1" ht="15" customHeight="1" x14ac:dyDescent="0.3">
      <c r="B21" s="163" t="s">
        <v>110</v>
      </c>
      <c r="C21" s="163"/>
      <c r="D21" s="163"/>
      <c r="E21" s="163"/>
      <c r="F21" s="163"/>
    </row>
    <row r="22" spans="1:6" s="81" customFormat="1" ht="15" customHeight="1" x14ac:dyDescent="0.3">
      <c r="A22" s="82"/>
      <c r="B22" s="19">
        <v>1</v>
      </c>
      <c r="C22" s="104" t="s">
        <v>53</v>
      </c>
      <c r="D22" s="180" t="s">
        <v>322</v>
      </c>
      <c r="E22" s="180"/>
      <c r="F22" s="180"/>
    </row>
    <row r="23" spans="1:6" s="81" customFormat="1" ht="15.95" customHeight="1" x14ac:dyDescent="0.3">
      <c r="B23" s="19">
        <v>2</v>
      </c>
      <c r="C23" s="21" t="s">
        <v>55</v>
      </c>
      <c r="D23" s="180" t="s">
        <v>309</v>
      </c>
      <c r="E23" s="180"/>
      <c r="F23" s="180"/>
    </row>
    <row r="24" spans="1:6" s="81" customFormat="1" ht="15.95" customHeight="1" x14ac:dyDescent="0.3">
      <c r="B24" s="19">
        <v>3</v>
      </c>
      <c r="C24" s="176" t="s">
        <v>56</v>
      </c>
      <c r="D24" s="176"/>
      <c r="E24" s="176"/>
      <c r="F24" s="20">
        <v>43831</v>
      </c>
    </row>
    <row r="25" spans="1:6" s="81" customFormat="1" ht="15.95" customHeight="1" x14ac:dyDescent="0.3">
      <c r="B25" s="19">
        <v>4</v>
      </c>
      <c r="C25" s="179" t="s">
        <v>133</v>
      </c>
      <c r="D25" s="179"/>
      <c r="E25" s="179"/>
      <c r="F25" s="59">
        <v>1045</v>
      </c>
    </row>
    <row r="26" spans="1:6" s="81" customFormat="1" x14ac:dyDescent="0.3">
      <c r="B26" s="22"/>
      <c r="C26" s="23"/>
      <c r="D26" s="23"/>
      <c r="E26" s="23"/>
      <c r="F26" s="100"/>
    </row>
    <row r="27" spans="1:6" s="81" customFormat="1" ht="25.5" x14ac:dyDescent="0.5">
      <c r="B27" s="101" t="s">
        <v>152</v>
      </c>
      <c r="C27" s="7"/>
      <c r="D27" s="7"/>
      <c r="E27" s="7"/>
      <c r="F27" s="7"/>
    </row>
    <row r="28" spans="1:6" x14ac:dyDescent="0.3">
      <c r="B28" s="45" t="s">
        <v>8</v>
      </c>
      <c r="E28" s="8"/>
      <c r="F28" s="8"/>
    </row>
    <row r="29" spans="1:6" x14ac:dyDescent="0.3">
      <c r="B29" s="1">
        <v>1</v>
      </c>
      <c r="C29" s="209" t="s">
        <v>9</v>
      </c>
      <c r="D29" s="209"/>
      <c r="E29" s="209"/>
      <c r="F29" s="3" t="s">
        <v>115</v>
      </c>
    </row>
    <row r="30" spans="1:6" x14ac:dyDescent="0.3">
      <c r="B30" s="1" t="s">
        <v>2</v>
      </c>
      <c r="C30" s="202" t="s">
        <v>85</v>
      </c>
      <c r="D30" s="202"/>
      <c r="E30" s="202"/>
      <c r="F30" s="67">
        <v>1826.64</v>
      </c>
    </row>
    <row r="31" spans="1:6" x14ac:dyDescent="0.3">
      <c r="B31" s="1" t="s">
        <v>3</v>
      </c>
      <c r="C31" s="186" t="s">
        <v>75</v>
      </c>
      <c r="D31" s="187"/>
      <c r="E31" s="188"/>
      <c r="F31" s="68">
        <v>0</v>
      </c>
    </row>
    <row r="32" spans="1:6" x14ac:dyDescent="0.3">
      <c r="B32" s="1" t="s">
        <v>4</v>
      </c>
      <c r="C32" s="202" t="s">
        <v>77</v>
      </c>
      <c r="D32" s="202"/>
      <c r="E32" s="202"/>
      <c r="F32" s="68">
        <v>0</v>
      </c>
    </row>
    <row r="33" spans="1:6" x14ac:dyDescent="0.3">
      <c r="B33" s="1" t="s">
        <v>5</v>
      </c>
      <c r="C33" s="206" t="s">
        <v>153</v>
      </c>
      <c r="D33" s="207"/>
      <c r="E33" s="208"/>
      <c r="F33" s="68">
        <v>0</v>
      </c>
    </row>
    <row r="34" spans="1:6" x14ac:dyDescent="0.3">
      <c r="B34" s="1" t="s">
        <v>6</v>
      </c>
      <c r="C34" s="181" t="s">
        <v>141</v>
      </c>
      <c r="D34" s="181"/>
      <c r="E34" s="181"/>
      <c r="F34" s="67">
        <v>0</v>
      </c>
    </row>
    <row r="35" spans="1:6" x14ac:dyDescent="0.3">
      <c r="B35" s="1" t="s">
        <v>7</v>
      </c>
      <c r="C35" s="181" t="s">
        <v>142</v>
      </c>
      <c r="D35" s="181"/>
      <c r="E35" s="181"/>
      <c r="F35" s="67">
        <v>0</v>
      </c>
    </row>
    <row r="36" spans="1:6" x14ac:dyDescent="0.3">
      <c r="B36" s="1" t="s">
        <v>10</v>
      </c>
      <c r="C36" s="181" t="s">
        <v>143</v>
      </c>
      <c r="D36" s="181"/>
      <c r="E36" s="181"/>
      <c r="F36" s="67">
        <v>0</v>
      </c>
    </row>
    <row r="37" spans="1:6" s="91" customFormat="1" x14ac:dyDescent="0.3"/>
    <row r="38" spans="1:6" s="91" customFormat="1" x14ac:dyDescent="0.3">
      <c r="A38" s="7"/>
      <c r="B38" s="45" t="s">
        <v>59</v>
      </c>
      <c r="C38" s="13"/>
      <c r="D38" s="13"/>
      <c r="E38" s="15"/>
      <c r="F38" s="15"/>
    </row>
    <row r="39" spans="1:6" s="91" customFormat="1" x14ac:dyDescent="0.3">
      <c r="A39" s="7"/>
      <c r="B39" s="45" t="s">
        <v>64</v>
      </c>
      <c r="C39" s="82"/>
      <c r="D39" s="82"/>
      <c r="E39" s="82"/>
      <c r="F39" s="82"/>
    </row>
    <row r="40" spans="1:6" s="91" customFormat="1" ht="15" customHeight="1" x14ac:dyDescent="0.3">
      <c r="A40" s="7"/>
      <c r="B40" s="1" t="s">
        <v>84</v>
      </c>
      <c r="C40" s="177" t="s">
        <v>14</v>
      </c>
      <c r="D40" s="178"/>
      <c r="E40" s="3" t="s">
        <v>35</v>
      </c>
      <c r="F40" s="3" t="s">
        <v>116</v>
      </c>
    </row>
    <row r="41" spans="1:6" s="91" customFormat="1" x14ac:dyDescent="0.3">
      <c r="A41" s="7"/>
      <c r="B41" s="75" t="s">
        <v>2</v>
      </c>
      <c r="C41" s="176" t="s">
        <v>15</v>
      </c>
      <c r="D41" s="176"/>
      <c r="E41" s="56" t="s">
        <v>36</v>
      </c>
      <c r="F41" s="27">
        <v>15.22</v>
      </c>
    </row>
    <row r="42" spans="1:6" s="91" customFormat="1" x14ac:dyDescent="0.3">
      <c r="B42" s="75" t="s">
        <v>3</v>
      </c>
      <c r="C42" s="179" t="s">
        <v>63</v>
      </c>
      <c r="D42" s="179"/>
      <c r="E42" s="24" t="s">
        <v>36</v>
      </c>
      <c r="F42" s="27">
        <v>33.619999999999997</v>
      </c>
    </row>
    <row r="43" spans="1:6" s="91" customFormat="1" x14ac:dyDescent="0.3">
      <c r="B43" s="75" t="s">
        <v>4</v>
      </c>
      <c r="C43" s="176" t="s">
        <v>155</v>
      </c>
      <c r="D43" s="176"/>
      <c r="E43" s="56" t="s">
        <v>136</v>
      </c>
      <c r="F43" s="71">
        <v>22</v>
      </c>
    </row>
    <row r="44" spans="1:6" x14ac:dyDescent="0.3">
      <c r="B44" s="75" t="s">
        <v>5</v>
      </c>
      <c r="C44" s="190" t="s">
        <v>300</v>
      </c>
      <c r="D44" s="191"/>
      <c r="E44" s="73" t="s">
        <v>136</v>
      </c>
      <c r="F44" s="67">
        <v>10.63</v>
      </c>
    </row>
    <row r="45" spans="1:6" x14ac:dyDescent="0.3">
      <c r="B45" s="75" t="s">
        <v>6</v>
      </c>
      <c r="C45" s="190" t="s">
        <v>299</v>
      </c>
      <c r="D45" s="191"/>
      <c r="E45" s="73" t="s">
        <v>136</v>
      </c>
      <c r="F45" s="67">
        <v>2</v>
      </c>
    </row>
    <row r="46" spans="1:6" x14ac:dyDescent="0.3">
      <c r="B46" s="75" t="s">
        <v>7</v>
      </c>
      <c r="C46" s="190" t="s">
        <v>144</v>
      </c>
      <c r="D46" s="191"/>
      <c r="E46" s="73" t="s">
        <v>301</v>
      </c>
      <c r="F46" s="67">
        <v>0</v>
      </c>
    </row>
    <row r="47" spans="1:6" s="91" customFormat="1" x14ac:dyDescent="0.3"/>
    <row r="48" spans="1:6" s="81" customFormat="1" x14ac:dyDescent="0.3">
      <c r="B48" s="45" t="s">
        <v>66</v>
      </c>
      <c r="C48" s="6"/>
      <c r="D48" s="16"/>
      <c r="E48" s="7"/>
      <c r="F48" s="7"/>
    </row>
    <row r="49" spans="1:6" s="81" customFormat="1" ht="15" customHeight="1" x14ac:dyDescent="0.3">
      <c r="B49" s="45" t="s">
        <v>96</v>
      </c>
      <c r="C49" s="6"/>
      <c r="D49" s="16"/>
      <c r="E49" s="14"/>
      <c r="F49" s="14"/>
    </row>
    <row r="50" spans="1:6" x14ac:dyDescent="0.3">
      <c r="A50" s="81"/>
      <c r="B50" s="1" t="s">
        <v>20</v>
      </c>
      <c r="C50" s="203" t="s">
        <v>97</v>
      </c>
      <c r="D50" s="204"/>
      <c r="E50" s="205"/>
      <c r="F50" s="3" t="s">
        <v>1</v>
      </c>
    </row>
    <row r="51" spans="1:6" s="91" customFormat="1" x14ac:dyDescent="0.3">
      <c r="B51" s="2" t="s">
        <v>2</v>
      </c>
      <c r="C51" s="198" t="s">
        <v>150</v>
      </c>
      <c r="D51" s="199"/>
      <c r="E51" s="200"/>
      <c r="F51" s="69">
        <v>0</v>
      </c>
    </row>
    <row r="52" spans="1:6" x14ac:dyDescent="0.3">
      <c r="B52" s="91"/>
      <c r="C52" s="91"/>
      <c r="D52" s="91"/>
      <c r="E52" s="91"/>
      <c r="F52" s="91"/>
    </row>
    <row r="53" spans="1:6" x14ac:dyDescent="0.3">
      <c r="B53" s="45" t="s">
        <v>179</v>
      </c>
      <c r="C53" s="6"/>
      <c r="D53" s="16"/>
      <c r="E53" s="14"/>
      <c r="F53" s="14"/>
    </row>
    <row r="54" spans="1:6" x14ac:dyDescent="0.3">
      <c r="B54" s="1" t="s">
        <v>21</v>
      </c>
      <c r="C54" s="201" t="s">
        <v>178</v>
      </c>
      <c r="D54" s="201"/>
      <c r="E54" s="201"/>
      <c r="F54" s="3" t="s">
        <v>174</v>
      </c>
    </row>
    <row r="55" spans="1:6" ht="15" customHeight="1" x14ac:dyDescent="0.3">
      <c r="B55" s="1" t="s">
        <v>2</v>
      </c>
      <c r="C55" s="202" t="s">
        <v>120</v>
      </c>
      <c r="D55" s="202"/>
      <c r="E55" s="202"/>
      <c r="F55" s="68">
        <v>0</v>
      </c>
    </row>
    <row r="56" spans="1:6" s="91" customFormat="1" x14ac:dyDescent="0.3">
      <c r="B56" s="1" t="s">
        <v>3</v>
      </c>
      <c r="C56" s="186" t="s">
        <v>129</v>
      </c>
      <c r="D56" s="187"/>
      <c r="E56" s="188"/>
      <c r="F56" s="68">
        <v>0</v>
      </c>
    </row>
    <row r="57" spans="1:6" x14ac:dyDescent="0.3">
      <c r="B57" s="91"/>
      <c r="C57" s="91"/>
      <c r="D57" s="91"/>
      <c r="E57" s="91"/>
      <c r="F57" s="91"/>
    </row>
    <row r="58" spans="1:6" ht="15.75" customHeight="1" x14ac:dyDescent="0.3">
      <c r="B58" s="45" t="s">
        <v>70</v>
      </c>
      <c r="C58" s="6"/>
      <c r="D58" s="6"/>
      <c r="E58" s="14"/>
      <c r="F58" s="14"/>
    </row>
    <row r="59" spans="1:6" x14ac:dyDescent="0.3">
      <c r="B59" s="43">
        <v>5</v>
      </c>
      <c r="C59" s="195" t="s">
        <v>0</v>
      </c>
      <c r="D59" s="195"/>
      <c r="E59" s="195"/>
      <c r="F59" s="44" t="s">
        <v>13</v>
      </c>
    </row>
    <row r="60" spans="1:6" x14ac:dyDescent="0.3">
      <c r="B60" s="39" t="s">
        <v>2</v>
      </c>
      <c r="C60" s="196" t="s">
        <v>16</v>
      </c>
      <c r="D60" s="196"/>
      <c r="E60" s="196"/>
      <c r="F60" s="70">
        <f>Uniforme!K27</f>
        <v>218.85</v>
      </c>
    </row>
    <row r="61" spans="1:6" s="92" customFormat="1" x14ac:dyDescent="0.3">
      <c r="A61" s="7"/>
      <c r="B61" s="39" t="s">
        <v>3</v>
      </c>
      <c r="C61" s="197" t="s">
        <v>18</v>
      </c>
      <c r="D61" s="197"/>
      <c r="E61" s="197"/>
      <c r="F61" s="70">
        <f ca="1">Materiais!L50</f>
        <v>131.62</v>
      </c>
    </row>
    <row r="62" spans="1:6" s="92" customFormat="1" x14ac:dyDescent="0.3">
      <c r="A62" s="7"/>
      <c r="B62" s="39" t="s">
        <v>4</v>
      </c>
      <c r="C62" s="196" t="s">
        <v>17</v>
      </c>
      <c r="D62" s="196"/>
      <c r="E62" s="196"/>
      <c r="F62" s="70">
        <f>Equipamentos!F13+Equipamentos!F15</f>
        <v>4.5</v>
      </c>
    </row>
    <row r="63" spans="1:6" s="91" customFormat="1" x14ac:dyDescent="0.3">
      <c r="B63" s="39" t="s">
        <v>5</v>
      </c>
      <c r="C63" s="181" t="s">
        <v>79</v>
      </c>
      <c r="D63" s="181"/>
      <c r="E63" s="181"/>
      <c r="F63" s="67">
        <v>0</v>
      </c>
    </row>
    <row r="64" spans="1:6" s="93" customFormat="1" ht="16.5" customHeight="1" x14ac:dyDescent="0.3">
      <c r="A64" s="7"/>
      <c r="B64" s="91"/>
      <c r="C64" s="91"/>
      <c r="D64" s="91"/>
      <c r="E64" s="91"/>
      <c r="F64" s="91"/>
    </row>
    <row r="65" spans="1:6" s="94" customFormat="1" ht="16.5" customHeight="1" x14ac:dyDescent="0.3">
      <c r="A65" s="7"/>
      <c r="B65" s="189" t="s">
        <v>69</v>
      </c>
      <c r="C65" s="189"/>
      <c r="D65" s="189"/>
      <c r="E65" s="189"/>
      <c r="F65" s="189"/>
    </row>
    <row r="66" spans="1:6" s="94" customFormat="1" x14ac:dyDescent="0.3">
      <c r="A66" s="92"/>
      <c r="B66" s="1">
        <v>6</v>
      </c>
      <c r="C66" s="192" t="s">
        <v>22</v>
      </c>
      <c r="D66" s="193"/>
      <c r="E66" s="194"/>
      <c r="F66" s="3" t="s">
        <v>1</v>
      </c>
    </row>
    <row r="67" spans="1:6" s="94" customFormat="1" x14ac:dyDescent="0.3">
      <c r="A67" s="92"/>
      <c r="B67" s="1" t="s">
        <v>2</v>
      </c>
      <c r="C67" s="183" t="s">
        <v>71</v>
      </c>
      <c r="D67" s="184"/>
      <c r="E67" s="185"/>
      <c r="F67" s="109">
        <v>4.7300000000000004</v>
      </c>
    </row>
    <row r="68" spans="1:6" s="94" customFormat="1" x14ac:dyDescent="0.3">
      <c r="A68" s="93"/>
      <c r="B68" s="2" t="s">
        <v>3</v>
      </c>
      <c r="C68" s="186" t="s">
        <v>29</v>
      </c>
      <c r="D68" s="187"/>
      <c r="E68" s="188"/>
      <c r="F68" s="109">
        <v>5.57</v>
      </c>
    </row>
    <row r="69" spans="1:6" x14ac:dyDescent="0.3">
      <c r="B69" s="25" t="s">
        <v>72</v>
      </c>
      <c r="C69" s="183" t="s">
        <v>24</v>
      </c>
      <c r="D69" s="184"/>
      <c r="E69" s="185">
        <f>PERC_PIS</f>
        <v>0.65</v>
      </c>
      <c r="F69" s="109">
        <v>0.65</v>
      </c>
    </row>
    <row r="70" spans="1:6" x14ac:dyDescent="0.3">
      <c r="B70" s="25" t="s">
        <v>73</v>
      </c>
      <c r="C70" s="186" t="s">
        <v>25</v>
      </c>
      <c r="D70" s="187"/>
      <c r="E70" s="188">
        <f>PERC_COFINS</f>
        <v>3</v>
      </c>
      <c r="F70" s="109">
        <v>3</v>
      </c>
    </row>
    <row r="71" spans="1:6" s="91" customFormat="1" x14ac:dyDescent="0.3">
      <c r="B71" s="25" t="s">
        <v>74</v>
      </c>
      <c r="C71" s="183" t="s">
        <v>26</v>
      </c>
      <c r="D71" s="184"/>
      <c r="E71" s="185">
        <f>PERC_ISS</f>
        <v>5</v>
      </c>
      <c r="F71" s="109">
        <v>5</v>
      </c>
    </row>
    <row r="72" spans="1:6" x14ac:dyDescent="0.3">
      <c r="B72" s="91"/>
      <c r="C72" s="91"/>
      <c r="D72" s="91"/>
      <c r="E72" s="91"/>
      <c r="F72" s="91"/>
    </row>
    <row r="73" spans="1:6" ht="33.75" customHeight="1" x14ac:dyDescent="0.3">
      <c r="B73" s="28" t="s">
        <v>151</v>
      </c>
      <c r="C73" s="29"/>
      <c r="D73" s="29"/>
      <c r="E73" s="29"/>
      <c r="F73" s="30"/>
    </row>
    <row r="74" spans="1:6" ht="32.25" customHeight="1" x14ac:dyDescent="0.3">
      <c r="B74" s="182" t="s">
        <v>175</v>
      </c>
      <c r="C74" s="182"/>
      <c r="D74" s="182"/>
      <c r="E74" s="182"/>
      <c r="F74" s="182"/>
    </row>
  </sheetData>
  <sheetProtection sheet="1" objects="1" scenarios="1"/>
  <mergeCells count="55">
    <mergeCell ref="B21:F21"/>
    <mergeCell ref="D23:F23"/>
    <mergeCell ref="C25:E25"/>
    <mergeCell ref="C24:E24"/>
    <mergeCell ref="C33:E33"/>
    <mergeCell ref="C29:E29"/>
    <mergeCell ref="C30:E30"/>
    <mergeCell ref="C31:E31"/>
    <mergeCell ref="C32:E32"/>
    <mergeCell ref="C67:E67"/>
    <mergeCell ref="C63:E63"/>
    <mergeCell ref="B65:F65"/>
    <mergeCell ref="C44:D44"/>
    <mergeCell ref="C45:D45"/>
    <mergeCell ref="C46:D46"/>
    <mergeCell ref="C66:E66"/>
    <mergeCell ref="C59:E59"/>
    <mergeCell ref="C60:E60"/>
    <mergeCell ref="C61:E61"/>
    <mergeCell ref="C62:E62"/>
    <mergeCell ref="C51:E51"/>
    <mergeCell ref="C54:E54"/>
    <mergeCell ref="C55:E55"/>
    <mergeCell ref="C56:E56"/>
    <mergeCell ref="C50:E50"/>
    <mergeCell ref="B74:F74"/>
    <mergeCell ref="C69:E69"/>
    <mergeCell ref="C71:E71"/>
    <mergeCell ref="C68:E68"/>
    <mergeCell ref="C70:E70"/>
    <mergeCell ref="C41:D41"/>
    <mergeCell ref="C40:D40"/>
    <mergeCell ref="C42:D42"/>
    <mergeCell ref="C43:D43"/>
    <mergeCell ref="D22:F22"/>
    <mergeCell ref="C34:E34"/>
    <mergeCell ref="C36:E36"/>
    <mergeCell ref="C35:E35"/>
    <mergeCell ref="B1:F1"/>
    <mergeCell ref="B2:D2"/>
    <mergeCell ref="B4:F4"/>
    <mergeCell ref="B5:F5"/>
    <mergeCell ref="B6:C6"/>
    <mergeCell ref="D6:F6"/>
    <mergeCell ref="D8:E8"/>
    <mergeCell ref="B17:F17"/>
    <mergeCell ref="B7:C7"/>
    <mergeCell ref="D7:E7"/>
    <mergeCell ref="B10:F10"/>
    <mergeCell ref="C11:E11"/>
    <mergeCell ref="D12:F12"/>
    <mergeCell ref="C14:E14"/>
    <mergeCell ref="B8:C8"/>
    <mergeCell ref="C13:E13"/>
    <mergeCell ref="C15:E15"/>
  </mergeCells>
  <dataValidations count="11">
    <dataValidation type="whole" allowBlank="1" showInputMessage="1" showErrorMessage="1" errorTitle="Erro na inserção de dados." error="O percentual de ISS deve estar entre 2 e 5%, conforme o inciso I do artigo 8º e o caput do art. 8º-A da Lei Complementar nº 116/2003." sqref="F71" xr:uid="{00000000-0002-0000-0000-000000000000}">
      <formula1>2</formula1>
      <formula2>5</formula2>
    </dataValidation>
    <dataValidation type="whole" errorStyle="warning" operator="equal" allowBlank="1" showInputMessage="1" showErrorMessage="1" errorTitle="Atentar para o percentual." error="Tem certeza que o percentual do Cofins é diferente de 3%, previsto no art. 31 da Lei nº 10.833/2003?" sqref="F70" xr:uid="{00000000-0002-0000-0000-000001000000}">
      <formula1>3</formula1>
    </dataValidation>
    <dataValidation type="decimal" errorStyle="warning" operator="equal" allowBlank="1" showInputMessage="1" showErrorMessage="1" errorTitle="Atentar para o percentual." error="Tem certeza que o percentual do PIS é diferente de 0,65%, previsto no art. 31 da Lei nº 10.833/2003?" sqref="F69" xr:uid="{00000000-0002-0000-0000-000002000000}">
      <formula1>0.65</formula1>
    </dataValidation>
    <dataValidation type="decimal" errorStyle="warning" allowBlank="1" showInputMessage="1" showErrorMessage="1" errorTitle="Erro na inserção de dados." error="O percentual recomendado de lucro é de 5,57%, conforme estudos realizados pela Auditoria Interna do MPU." sqref="F68" xr:uid="{00000000-0002-0000-0000-000003000000}">
      <formula1>0</formula1>
      <formula2>5.57</formula2>
    </dataValidation>
    <dataValidation type="decimal" errorStyle="warning" allowBlank="1" showInputMessage="1" showErrorMessage="1" errorTitle="Erro na inserção de dados." error="O percentual recomendado de custos indiretos é de 4,73%, conforme estudos realizados pela Auditoria Interna do MPU." sqref="F67" xr:uid="{00000000-0002-0000-0000-000004000000}">
      <formula1>0</formula1>
      <formula2>4.73</formula2>
    </dataValidation>
    <dataValidation type="decimal" errorStyle="warning" operator="greaterThanOrEqual" allowBlank="1" showInputMessage="1" showErrorMessage="1" errorTitle="Atentar para o valor do salário." error="Tem certeza que o valor do salário-base é menor do que o salário mínimo vigente no país?" sqref="F30" xr:uid="{00000000-0002-0000-0000-000005000000}">
      <formula1>F25</formula1>
    </dataValidation>
    <dataValidation type="list" operator="equal" allowBlank="1" showInputMessage="1" showErrorMessage="1" errorTitle="Erro na inserção de dados." error="De acordo com o art. 192 da CLT, estão previstos somente os percentuais de 40% (máximo), 20% (médio) ou 10% (mínimo), conforme for a exposição ao risco." sqref="F33" xr:uid="{00000000-0002-0000-0000-000006000000}">
      <formula1>"0,10,20,40"</formula1>
    </dataValidation>
    <dataValidation type="list" allowBlank="1" showInputMessage="1" showErrorMessage="1" errorTitle="Erro na inserção de dados." error="Somente estão previstos 15 dias (intercalados), no caso de postos 12x36 horas, ou 22 dias (úteis), no caso de postos 44 horas." sqref="F43" xr:uid="{00000000-0002-0000-0000-000007000000}">
      <formula1>"15,22"</formula1>
    </dataValidation>
    <dataValidation type="whole" errorStyle="warning" operator="equal" allowBlank="1" showInputMessage="1" showErrorMessage="1" errorTitle="Atenção para a inclusão do item." error="Tem certeza que deseja incluir este item de custo e que o tempo de intervalo está de acordo com o previsto na CCT da categoria?" promptTitle="Intervalo Intrajornada" prompt="Segundo estudos da Audin-MPU, esse item não é usual nas planilhas do MPU. Verifique se realmente há necessidade de incluí-lo." sqref="F56" xr:uid="{00000000-0002-0000-0000-000008000000}">
      <formula1>0</formula1>
    </dataValidation>
    <dataValidation type="whole" errorStyle="warning" operator="equal" allowBlank="1" showInputMessage="1" showErrorMessage="1" errorTitle="Atenção para a inclusão do item." error="Tem certeza que deseja incluir este item de custo e que o percentual está de acordo com o previsto na CCT da categoria?" promptTitle="Intervalo Intrajornada" prompt="Segundo estudos da Audin-MPU, esse item não é usual nas planilhas do MPU. Verifique se realmente há necessidade de incluí-lo." sqref="F55" xr:uid="{00000000-0002-0000-0000-000009000000}">
      <formula1>0</formula1>
    </dataValidation>
    <dataValidation type="list" allowBlank="1" showInputMessage="1" showErrorMessage="1" sqref="F13" xr:uid="{00000000-0002-0000-0000-00000A000000}">
      <formula1>"AC,AL,AP,AM,BA,CE,DF,ES,GO,MA,MG,MS,MT,PA,PB,PR,PE,PI,RJ,RN,RO,RR,RS,SC,SP,SE,TO"</formula1>
    </dataValidation>
  </dataValidations>
  <pageMargins left="0.17" right="0.17" top="0.46" bottom="0.33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2"/>
  <sheetViews>
    <sheetView workbookViewId="0"/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9.5703125" style="13" customWidth="1"/>
    <col min="5" max="5" width="13.5703125" style="13" customWidth="1"/>
    <col min="6" max="6" width="15.42578125" style="13" bestFit="1" customWidth="1"/>
    <col min="7" max="16384" width="9.140625" style="7"/>
  </cols>
  <sheetData>
    <row r="1" spans="1:6" s="81" customFormat="1" ht="25.5" x14ac:dyDescent="0.5">
      <c r="B1" s="101" t="s">
        <v>160</v>
      </c>
      <c r="C1" s="7"/>
      <c r="D1" s="7"/>
      <c r="E1" s="7"/>
      <c r="F1" s="7"/>
    </row>
    <row r="2" spans="1:6" x14ac:dyDescent="0.3">
      <c r="B2" s="45" t="s">
        <v>8</v>
      </c>
      <c r="E2" s="8"/>
      <c r="F2" s="8"/>
    </row>
    <row r="3" spans="1:6" ht="33" x14ac:dyDescent="0.3">
      <c r="B3" s="1">
        <v>1</v>
      </c>
      <c r="C3" s="209" t="s">
        <v>9</v>
      </c>
      <c r="D3" s="209"/>
      <c r="E3" s="209"/>
      <c r="F3" s="3" t="s">
        <v>180</v>
      </c>
    </row>
    <row r="4" spans="1:6" x14ac:dyDescent="0.3">
      <c r="B4" s="1" t="s">
        <v>6</v>
      </c>
      <c r="C4" s="183" t="s">
        <v>118</v>
      </c>
      <c r="D4" s="184"/>
      <c r="E4" s="185"/>
      <c r="F4" s="63">
        <v>220</v>
      </c>
    </row>
    <row r="5" spans="1:6" x14ac:dyDescent="0.3">
      <c r="B5" s="1" t="s">
        <v>7</v>
      </c>
      <c r="C5" s="213" t="s">
        <v>112</v>
      </c>
      <c r="D5" s="213"/>
      <c r="E5" s="213"/>
      <c r="F5" s="61">
        <v>7</v>
      </c>
    </row>
    <row r="6" spans="1:6" x14ac:dyDescent="0.3">
      <c r="B6" s="1" t="s">
        <v>10</v>
      </c>
      <c r="C6" s="183" t="s">
        <v>111</v>
      </c>
      <c r="D6" s="184"/>
      <c r="E6" s="185"/>
      <c r="F6" s="63">
        <v>365</v>
      </c>
    </row>
    <row r="7" spans="1:6" x14ac:dyDescent="0.3">
      <c r="B7" s="1" t="s">
        <v>12</v>
      </c>
      <c r="C7" s="213" t="s">
        <v>137</v>
      </c>
      <c r="D7" s="213"/>
      <c r="E7" s="213"/>
      <c r="F7" s="62">
        <v>15.2</v>
      </c>
    </row>
    <row r="8" spans="1:6" x14ac:dyDescent="0.3">
      <c r="B8" s="1" t="s">
        <v>117</v>
      </c>
      <c r="C8" s="183" t="s">
        <v>119</v>
      </c>
      <c r="D8" s="184"/>
      <c r="E8" s="185"/>
      <c r="F8" s="63">
        <v>12</v>
      </c>
    </row>
    <row r="9" spans="1:6" x14ac:dyDescent="0.3">
      <c r="B9" s="1" t="s">
        <v>124</v>
      </c>
      <c r="C9" s="213" t="s">
        <v>113</v>
      </c>
      <c r="D9" s="213"/>
      <c r="E9" s="213"/>
      <c r="F9" s="61">
        <v>60</v>
      </c>
    </row>
    <row r="10" spans="1:6" s="11" customFormat="1" x14ac:dyDescent="0.3">
      <c r="A10" s="7"/>
      <c r="B10" s="1" t="s">
        <v>125</v>
      </c>
      <c r="C10" s="183" t="s">
        <v>114</v>
      </c>
      <c r="D10" s="184"/>
      <c r="E10" s="185"/>
      <c r="F10" s="64">
        <v>52.5</v>
      </c>
    </row>
    <row r="11" spans="1:6" s="91" customFormat="1" x14ac:dyDescent="0.3"/>
    <row r="12" spans="1:6" s="91" customFormat="1" x14ac:dyDescent="0.3">
      <c r="A12" s="7"/>
      <c r="B12" s="45" t="s">
        <v>64</v>
      </c>
      <c r="C12" s="82"/>
      <c r="D12" s="82"/>
      <c r="E12" s="82"/>
      <c r="F12" s="82"/>
    </row>
    <row r="13" spans="1:6" s="91" customFormat="1" ht="15" customHeight="1" x14ac:dyDescent="0.3">
      <c r="A13" s="7"/>
      <c r="B13" s="1" t="s">
        <v>84</v>
      </c>
      <c r="C13" s="177" t="s">
        <v>14</v>
      </c>
      <c r="D13" s="178"/>
      <c r="E13" s="3" t="s">
        <v>35</v>
      </c>
      <c r="F13" s="3" t="s">
        <v>1</v>
      </c>
    </row>
    <row r="14" spans="1:6" s="91" customFormat="1" x14ac:dyDescent="0.3">
      <c r="B14" s="75" t="s">
        <v>4</v>
      </c>
      <c r="C14" s="179" t="s">
        <v>138</v>
      </c>
      <c r="D14" s="179"/>
      <c r="E14" s="78" t="s">
        <v>136</v>
      </c>
      <c r="F14" s="66">
        <v>6</v>
      </c>
    </row>
    <row r="15" spans="1:6" s="91" customFormat="1" x14ac:dyDescent="0.3"/>
    <row r="16" spans="1:6" s="81" customFormat="1" x14ac:dyDescent="0.3">
      <c r="A16" s="91"/>
      <c r="B16" s="45" t="s">
        <v>65</v>
      </c>
      <c r="C16" s="6"/>
      <c r="D16" s="16"/>
      <c r="E16" s="14"/>
      <c r="F16" s="14"/>
    </row>
    <row r="17" spans="1:6" s="81" customFormat="1" x14ac:dyDescent="0.3">
      <c r="A17" s="91"/>
      <c r="B17" s="1">
        <v>3</v>
      </c>
      <c r="C17" s="192" t="s">
        <v>45</v>
      </c>
      <c r="D17" s="193"/>
      <c r="E17" s="194"/>
      <c r="F17" s="3" t="s">
        <v>181</v>
      </c>
    </row>
    <row r="18" spans="1:6" s="81" customFormat="1" x14ac:dyDescent="0.3">
      <c r="A18" s="91"/>
      <c r="B18" s="1" t="s">
        <v>2</v>
      </c>
      <c r="C18" s="183" t="s">
        <v>132</v>
      </c>
      <c r="D18" s="184"/>
      <c r="E18" s="185"/>
      <c r="F18" s="49">
        <v>62.93</v>
      </c>
    </row>
    <row r="19" spans="1:6" x14ac:dyDescent="0.3">
      <c r="A19" s="91"/>
      <c r="B19" s="2" t="s">
        <v>3</v>
      </c>
      <c r="C19" s="210" t="s">
        <v>121</v>
      </c>
      <c r="D19" s="211"/>
      <c r="E19" s="212"/>
      <c r="F19" s="31">
        <v>5.55</v>
      </c>
    </row>
    <row r="20" spans="1:6" s="81" customFormat="1" ht="15.95" customHeight="1" x14ac:dyDescent="0.15">
      <c r="B20" s="2" t="s">
        <v>4</v>
      </c>
      <c r="C20" s="183" t="s">
        <v>122</v>
      </c>
      <c r="D20" s="184"/>
      <c r="E20" s="185"/>
      <c r="F20" s="65">
        <v>40</v>
      </c>
    </row>
    <row r="21" spans="1:6" ht="16.5" customHeight="1" x14ac:dyDescent="0.3">
      <c r="A21" s="91"/>
      <c r="B21" s="2" t="s">
        <v>5</v>
      </c>
      <c r="C21" s="210" t="s">
        <v>123</v>
      </c>
      <c r="D21" s="211"/>
      <c r="E21" s="212"/>
      <c r="F21" s="66">
        <v>94.45</v>
      </c>
    </row>
    <row r="22" spans="1:6" x14ac:dyDescent="0.3">
      <c r="A22" s="91"/>
      <c r="B22" s="2" t="s">
        <v>6</v>
      </c>
      <c r="C22" s="183" t="s">
        <v>134</v>
      </c>
      <c r="D22" s="184"/>
      <c r="E22" s="185"/>
      <c r="F22" s="65">
        <v>30</v>
      </c>
    </row>
    <row r="23" spans="1:6" s="91" customFormat="1" x14ac:dyDescent="0.3"/>
    <row r="24" spans="1:6" s="81" customFormat="1" x14ac:dyDescent="0.3">
      <c r="B24" s="45" t="s">
        <v>66</v>
      </c>
      <c r="C24" s="6"/>
      <c r="D24" s="16"/>
      <c r="E24" s="7"/>
      <c r="F24" s="7"/>
    </row>
    <row r="25" spans="1:6" s="81" customFormat="1" ht="15" customHeight="1" x14ac:dyDescent="0.3">
      <c r="B25" s="45" t="s">
        <v>96</v>
      </c>
      <c r="C25" s="6"/>
      <c r="D25" s="16"/>
      <c r="E25" s="14"/>
      <c r="F25" s="14"/>
    </row>
    <row r="26" spans="1:6" s="81" customFormat="1" x14ac:dyDescent="0.15">
      <c r="B26" s="1" t="s">
        <v>20</v>
      </c>
      <c r="C26" s="203" t="s">
        <v>97</v>
      </c>
      <c r="D26" s="204"/>
      <c r="E26" s="205"/>
      <c r="F26" s="3" t="s">
        <v>181</v>
      </c>
    </row>
    <row r="27" spans="1:6" s="81" customFormat="1" x14ac:dyDescent="0.15">
      <c r="B27" s="1" t="s">
        <v>2</v>
      </c>
      <c r="C27" s="183" t="s">
        <v>126</v>
      </c>
      <c r="D27" s="184"/>
      <c r="E27" s="185"/>
      <c r="F27" s="65">
        <v>8</v>
      </c>
    </row>
    <row r="28" spans="1:6" x14ac:dyDescent="0.3">
      <c r="A28" s="81"/>
      <c r="B28" s="2" t="s">
        <v>3</v>
      </c>
      <c r="C28" s="186" t="s">
        <v>127</v>
      </c>
      <c r="D28" s="187"/>
      <c r="E28" s="188"/>
      <c r="F28" s="66">
        <v>20</v>
      </c>
    </row>
    <row r="29" spans="1:6" x14ac:dyDescent="0.3">
      <c r="A29" s="81"/>
      <c r="B29" s="2" t="s">
        <v>4</v>
      </c>
      <c r="C29" s="183" t="s">
        <v>128</v>
      </c>
      <c r="D29" s="184"/>
      <c r="E29" s="185"/>
      <c r="F29" s="49">
        <v>1.42</v>
      </c>
    </row>
    <row r="30" spans="1:6" x14ac:dyDescent="0.3">
      <c r="A30" s="81"/>
      <c r="B30" s="2" t="s">
        <v>5</v>
      </c>
      <c r="C30" s="186" t="s">
        <v>170</v>
      </c>
      <c r="D30" s="187"/>
      <c r="E30" s="188"/>
      <c r="F30" s="31">
        <v>45.22</v>
      </c>
    </row>
    <row r="31" spans="1:6" s="81" customFormat="1" ht="15.95" customHeight="1" x14ac:dyDescent="0.3">
      <c r="A31" s="7"/>
      <c r="B31" s="2" t="s">
        <v>6</v>
      </c>
      <c r="C31" s="183" t="s">
        <v>130</v>
      </c>
      <c r="D31" s="184"/>
      <c r="E31" s="185"/>
      <c r="F31" s="49">
        <f>(154800/34808000)*100</f>
        <v>0.44</v>
      </c>
    </row>
    <row r="32" spans="1:6" ht="15.75" customHeight="1" x14ac:dyDescent="0.3">
      <c r="A32" s="81"/>
      <c r="B32" s="2" t="s">
        <v>7</v>
      </c>
      <c r="C32" s="186" t="s">
        <v>135</v>
      </c>
      <c r="D32" s="187"/>
      <c r="E32" s="188"/>
      <c r="F32" s="66">
        <v>15</v>
      </c>
    </row>
    <row r="33" spans="1:6" ht="15.75" customHeight="1" x14ac:dyDescent="0.3">
      <c r="A33" s="81"/>
      <c r="B33" s="2" t="s">
        <v>10</v>
      </c>
      <c r="C33" s="183" t="s">
        <v>131</v>
      </c>
      <c r="D33" s="184"/>
      <c r="E33" s="185"/>
      <c r="F33" s="65">
        <v>180</v>
      </c>
    </row>
    <row r="34" spans="1:6" x14ac:dyDescent="0.3">
      <c r="A34" s="81"/>
      <c r="B34" s="2" t="s">
        <v>11</v>
      </c>
      <c r="C34" s="186" t="s">
        <v>171</v>
      </c>
      <c r="D34" s="187"/>
      <c r="E34" s="188"/>
      <c r="F34" s="31">
        <v>54.78</v>
      </c>
    </row>
    <row r="35" spans="1:6" s="91" customFormat="1" ht="8.25" customHeight="1" x14ac:dyDescent="0.3"/>
    <row r="36" spans="1:6" x14ac:dyDescent="0.3">
      <c r="B36" s="45" t="s">
        <v>67</v>
      </c>
      <c r="C36" s="6"/>
      <c r="D36" s="16"/>
      <c r="E36" s="14"/>
      <c r="F36" s="14"/>
    </row>
    <row r="37" spans="1:6" x14ac:dyDescent="0.3">
      <c r="B37" s="1" t="s">
        <v>21</v>
      </c>
      <c r="C37" s="201" t="s">
        <v>68</v>
      </c>
      <c r="D37" s="201"/>
      <c r="E37" s="201"/>
      <c r="F37" s="3" t="s">
        <v>182</v>
      </c>
    </row>
    <row r="38" spans="1:6" x14ac:dyDescent="0.3">
      <c r="B38" s="1" t="s">
        <v>2</v>
      </c>
      <c r="C38" s="202" t="s">
        <v>120</v>
      </c>
      <c r="D38" s="202"/>
      <c r="E38" s="202"/>
      <c r="F38" s="63">
        <f>PERC_HORA_EXTRA</f>
        <v>0</v>
      </c>
    </row>
    <row r="39" spans="1:6" ht="15" customHeight="1" x14ac:dyDescent="0.3">
      <c r="B39" s="1" t="s">
        <v>3</v>
      </c>
      <c r="C39" s="186" t="s">
        <v>129</v>
      </c>
      <c r="D39" s="187"/>
      <c r="E39" s="188"/>
      <c r="F39" s="61">
        <f>TEMPO_INTERVALO_REFEICAO</f>
        <v>0</v>
      </c>
    </row>
    <row r="40" spans="1:6" s="91" customFormat="1" x14ac:dyDescent="0.3"/>
    <row r="41" spans="1:6" ht="20.25" x14ac:dyDescent="0.3">
      <c r="B41" s="28" t="s">
        <v>151</v>
      </c>
      <c r="C41" s="29"/>
      <c r="D41" s="29"/>
      <c r="E41" s="29"/>
      <c r="F41" s="30"/>
    </row>
    <row r="42" spans="1:6" ht="33.75" customHeight="1" x14ac:dyDescent="0.3">
      <c r="B42" s="182" t="s">
        <v>175</v>
      </c>
      <c r="C42" s="182"/>
      <c r="D42" s="182"/>
      <c r="E42" s="182"/>
      <c r="F42" s="182"/>
    </row>
  </sheetData>
  <sheetProtection sheet="1" objects="1" scenarios="1"/>
  <mergeCells count="29">
    <mergeCell ref="C10:E10"/>
    <mergeCell ref="C3:E3"/>
    <mergeCell ref="C4:E4"/>
    <mergeCell ref="C5:E5"/>
    <mergeCell ref="C6:E6"/>
    <mergeCell ref="C7:E7"/>
    <mergeCell ref="C8:E8"/>
    <mergeCell ref="C9:E9"/>
    <mergeCell ref="C17:E17"/>
    <mergeCell ref="C18:E18"/>
    <mergeCell ref="C19:E19"/>
    <mergeCell ref="C13:D13"/>
    <mergeCell ref="C14:D14"/>
    <mergeCell ref="C33:E33"/>
    <mergeCell ref="C20:E20"/>
    <mergeCell ref="C21:E21"/>
    <mergeCell ref="C22:E22"/>
    <mergeCell ref="C26:E26"/>
    <mergeCell ref="C27:E27"/>
    <mergeCell ref="C28:E28"/>
    <mergeCell ref="C29:E29"/>
    <mergeCell ref="C30:E30"/>
    <mergeCell ref="C31:E31"/>
    <mergeCell ref="C32:E32"/>
    <mergeCell ref="B42:F42"/>
    <mergeCell ref="C34:E34"/>
    <mergeCell ref="C37:E37"/>
    <mergeCell ref="C38:E38"/>
    <mergeCell ref="C39:E39"/>
  </mergeCells>
  <dataValidations count="1">
    <dataValidation allowBlank="1" showInputMessage="1" showErrorMessage="1" promptTitle="Intervalo Intrajornada" prompt="Segundo estudos da Audin-MPU, esse item não é usual nas planilhas do MPU. Verifique se realmente há necessidade de incluí-lo." sqref="F38:F39" xr:uid="{00000000-0002-0000-0100-000000000000}"/>
  </dataValidation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34"/>
  <sheetViews>
    <sheetView workbookViewId="0"/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22" style="13" customWidth="1"/>
    <col min="5" max="5" width="13.5703125" style="13" customWidth="1"/>
    <col min="6" max="6" width="43.85546875" style="7" customWidth="1"/>
    <col min="7" max="7" width="51.7109375" style="7" customWidth="1"/>
    <col min="8" max="16384" width="9.140625" style="7"/>
  </cols>
  <sheetData>
    <row r="1" spans="2:7" s="81" customFormat="1" ht="25.5" x14ac:dyDescent="0.5">
      <c r="B1" s="101" t="s">
        <v>161</v>
      </c>
      <c r="C1" s="7"/>
      <c r="D1" s="7"/>
      <c r="E1" s="7"/>
      <c r="F1" s="7"/>
      <c r="G1" s="7"/>
    </row>
    <row r="2" spans="2:7" x14ac:dyDescent="0.3">
      <c r="B2" s="45" t="s">
        <v>59</v>
      </c>
      <c r="E2" s="15"/>
    </row>
    <row r="3" spans="2:7" x14ac:dyDescent="0.3">
      <c r="B3" s="45" t="s">
        <v>104</v>
      </c>
      <c r="C3" s="6"/>
      <c r="D3" s="16"/>
      <c r="E3" s="14"/>
    </row>
    <row r="4" spans="2:7" x14ac:dyDescent="0.3">
      <c r="B4" s="1" t="s">
        <v>60</v>
      </c>
      <c r="C4" s="201" t="s">
        <v>87</v>
      </c>
      <c r="D4" s="201"/>
      <c r="E4" s="3" t="s">
        <v>1</v>
      </c>
      <c r="F4" s="3" t="s">
        <v>162</v>
      </c>
    </row>
    <row r="5" spans="2:7" x14ac:dyDescent="0.3">
      <c r="B5" s="1" t="s">
        <v>2</v>
      </c>
      <c r="C5" s="216" t="s">
        <v>44</v>
      </c>
      <c r="D5" s="216"/>
      <c r="E5" s="50">
        <f>(1/MESES_NO_ANO)*100</f>
        <v>8.33</v>
      </c>
      <c r="F5" s="50" t="s">
        <v>163</v>
      </c>
    </row>
    <row r="6" spans="2:7" s="11" customFormat="1" x14ac:dyDescent="0.3">
      <c r="B6" s="2" t="s">
        <v>3</v>
      </c>
      <c r="C6" s="214" t="s">
        <v>89</v>
      </c>
      <c r="D6" s="214"/>
      <c r="E6" s="33">
        <f>(1/3)/MESES_NO_ANO*100</f>
        <v>2.78</v>
      </c>
      <c r="F6" s="33" t="s">
        <v>164</v>
      </c>
    </row>
    <row r="7" spans="2:7" s="91" customFormat="1" x14ac:dyDescent="0.3">
      <c r="B7" s="220" t="s">
        <v>61</v>
      </c>
      <c r="C7" s="220"/>
      <c r="D7" s="220"/>
      <c r="E7" s="220"/>
      <c r="F7" s="220"/>
    </row>
    <row r="8" spans="2:7" s="91" customFormat="1" ht="34.5" customHeight="1" x14ac:dyDescent="0.3">
      <c r="B8" s="1" t="s">
        <v>62</v>
      </c>
      <c r="C8" s="215" t="s">
        <v>90</v>
      </c>
      <c r="D8" s="215"/>
      <c r="E8" s="3" t="s">
        <v>1</v>
      </c>
    </row>
    <row r="9" spans="2:7" x14ac:dyDescent="0.3">
      <c r="B9" s="1" t="s">
        <v>2</v>
      </c>
      <c r="C9" s="216" t="s">
        <v>38</v>
      </c>
      <c r="D9" s="216"/>
      <c r="E9" s="50">
        <v>20</v>
      </c>
    </row>
    <row r="10" spans="2:7" s="81" customFormat="1" x14ac:dyDescent="0.15">
      <c r="B10" s="2" t="s">
        <v>3</v>
      </c>
      <c r="C10" s="214" t="s">
        <v>40</v>
      </c>
      <c r="D10" s="214"/>
      <c r="E10" s="40">
        <v>2.5</v>
      </c>
    </row>
    <row r="11" spans="2:7" s="81" customFormat="1" x14ac:dyDescent="0.15">
      <c r="B11" s="2" t="s">
        <v>4</v>
      </c>
      <c r="C11" s="216" t="s">
        <v>83</v>
      </c>
      <c r="D11" s="216"/>
      <c r="E11" s="50">
        <v>3</v>
      </c>
    </row>
    <row r="12" spans="2:7" s="81" customFormat="1" x14ac:dyDescent="0.15">
      <c r="B12" s="2" t="s">
        <v>5</v>
      </c>
      <c r="C12" s="214" t="s">
        <v>81</v>
      </c>
      <c r="D12" s="214"/>
      <c r="E12" s="33">
        <v>1.5</v>
      </c>
    </row>
    <row r="13" spans="2:7" s="81" customFormat="1" x14ac:dyDescent="0.15">
      <c r="B13" s="2" t="s">
        <v>6</v>
      </c>
      <c r="C13" s="216" t="s">
        <v>82</v>
      </c>
      <c r="D13" s="216"/>
      <c r="E13" s="50">
        <v>1</v>
      </c>
    </row>
    <row r="14" spans="2:7" s="82" customFormat="1" x14ac:dyDescent="0.15">
      <c r="B14" s="2" t="s">
        <v>7</v>
      </c>
      <c r="C14" s="214" t="s">
        <v>42</v>
      </c>
      <c r="D14" s="214"/>
      <c r="E14" s="40">
        <v>0.6</v>
      </c>
    </row>
    <row r="15" spans="2:7" s="82" customFormat="1" x14ac:dyDescent="0.15">
      <c r="B15" s="2" t="s">
        <v>10</v>
      </c>
      <c r="C15" s="216" t="s">
        <v>39</v>
      </c>
      <c r="D15" s="216"/>
      <c r="E15" s="50">
        <v>0.2</v>
      </c>
    </row>
    <row r="16" spans="2:7" x14ac:dyDescent="0.3">
      <c r="B16" s="2" t="s">
        <v>11</v>
      </c>
      <c r="C16" s="214" t="s">
        <v>41</v>
      </c>
      <c r="D16" s="214"/>
      <c r="E16" s="40">
        <v>8</v>
      </c>
    </row>
    <row r="17" spans="2:6" x14ac:dyDescent="0.3">
      <c r="B17" s="201" t="s">
        <v>43</v>
      </c>
      <c r="C17" s="201"/>
      <c r="D17" s="201"/>
      <c r="E17" s="34">
        <f>SUM(E9:E16)</f>
        <v>36.799999999999997</v>
      </c>
    </row>
    <row r="18" spans="2:6" s="91" customFormat="1" x14ac:dyDescent="0.3">
      <c r="B18" s="45" t="s">
        <v>65</v>
      </c>
      <c r="C18" s="6"/>
      <c r="D18" s="16"/>
      <c r="E18" s="14"/>
    </row>
    <row r="19" spans="2:6" s="91" customFormat="1" ht="15" customHeight="1" x14ac:dyDescent="0.3">
      <c r="B19" s="1">
        <v>3</v>
      </c>
      <c r="C19" s="201" t="s">
        <v>45</v>
      </c>
      <c r="D19" s="201"/>
      <c r="E19" s="3" t="s">
        <v>1</v>
      </c>
      <c r="F19" s="3" t="s">
        <v>162</v>
      </c>
    </row>
    <row r="20" spans="2:6" s="91" customFormat="1" x14ac:dyDescent="0.3">
      <c r="B20" s="1" t="s">
        <v>2</v>
      </c>
      <c r="C20" s="217" t="s">
        <v>46</v>
      </c>
      <c r="D20" s="217"/>
      <c r="E20" s="50">
        <f>PERC_EMPREG_DEMIT_SEM_JUSTA_CAUSA_TOTAL_DESLIG%*PERC_EMPREG_AVISO_PREVIO_IND%*1/MESES_NO_ANO*100</f>
        <v>0.28999999999999998</v>
      </c>
      <c r="F20" s="50" t="s">
        <v>165</v>
      </c>
    </row>
    <row r="21" spans="2:6" s="91" customFormat="1" x14ac:dyDescent="0.3">
      <c r="B21" s="2" t="s">
        <v>3</v>
      </c>
      <c r="C21" s="218" t="s">
        <v>47</v>
      </c>
      <c r="D21" s="218"/>
      <c r="E21" s="40">
        <f>PERC_EMPREG_DEMIT_SEM_JUSTA_CAUSA_TOTAL_DESLIG%*PERC_EMPREG_AVISO_PREVIO_TRAB%*(DIAS_NA_SEMANA/DIAS_NO_MES)/MESES_NO_ANO*100</f>
        <v>1.1599999999999999</v>
      </c>
      <c r="F21" s="33" t="s">
        <v>169</v>
      </c>
    </row>
    <row r="22" spans="2:6" s="81" customFormat="1" ht="16.5" customHeight="1" x14ac:dyDescent="0.15">
      <c r="B22" s="2" t="s">
        <v>4</v>
      </c>
      <c r="C22" s="217" t="s">
        <v>184</v>
      </c>
      <c r="D22" s="217"/>
      <c r="E22" s="50">
        <f>ROUNDUP(PERC_AVISO_PREVIO_TRAB%*(PERC_MULTA_FGTS%)*PERC_FGTS%*100,2)</f>
        <v>0.04</v>
      </c>
      <c r="F22" s="50" t="s">
        <v>183</v>
      </c>
    </row>
    <row r="23" spans="2:6" s="81" customFormat="1" ht="15.95" customHeight="1" x14ac:dyDescent="0.3">
      <c r="B23" s="45" t="s">
        <v>66</v>
      </c>
      <c r="C23" s="6"/>
      <c r="D23" s="16"/>
      <c r="E23" s="7"/>
    </row>
    <row r="24" spans="2:6" s="81" customFormat="1" ht="15.95" customHeight="1" x14ac:dyDescent="0.3">
      <c r="B24" s="45" t="s">
        <v>96</v>
      </c>
      <c r="C24" s="6"/>
      <c r="D24" s="16"/>
      <c r="E24" s="14"/>
    </row>
    <row r="25" spans="2:6" s="81" customFormat="1" x14ac:dyDescent="0.15">
      <c r="B25" s="1" t="s">
        <v>20</v>
      </c>
      <c r="C25" s="219" t="s">
        <v>97</v>
      </c>
      <c r="D25" s="219"/>
      <c r="E25" s="3" t="s">
        <v>1</v>
      </c>
      <c r="F25" s="3" t="s">
        <v>162</v>
      </c>
    </row>
    <row r="26" spans="2:6" s="81" customFormat="1" ht="15.95" customHeight="1" x14ac:dyDescent="0.15">
      <c r="B26" s="2" t="s">
        <v>2</v>
      </c>
      <c r="C26" s="216" t="s">
        <v>98</v>
      </c>
      <c r="D26" s="216"/>
      <c r="E26" s="50">
        <f>(1/MESES_NO_ANO)*100</f>
        <v>8.33</v>
      </c>
      <c r="F26" s="50" t="s">
        <v>166</v>
      </c>
    </row>
    <row r="27" spans="2:6" s="81" customFormat="1" ht="15.95" customHeight="1" x14ac:dyDescent="0.15">
      <c r="B27" s="2" t="s">
        <v>3</v>
      </c>
      <c r="C27" s="77" t="s">
        <v>99</v>
      </c>
      <c r="D27" s="77"/>
      <c r="E27" s="40">
        <f>(DIAS_AUSENCIAS_LEGAIS/DIAS_NO_MES)/MESES_NO_ANO*100</f>
        <v>2.2200000000000002</v>
      </c>
      <c r="F27" s="33" t="s">
        <v>167</v>
      </c>
    </row>
    <row r="28" spans="2:6" s="81" customFormat="1" ht="15.95" customHeight="1" x14ac:dyDescent="0.15">
      <c r="B28" s="2" t="s">
        <v>4</v>
      </c>
      <c r="C28" s="216" t="s">
        <v>100</v>
      </c>
      <c r="D28" s="216"/>
      <c r="E28" s="50">
        <f>(((DIAS_LICENCA_PATERNIDADE/DIAS_NO_MES)/MESES_NO_ANO)*PERC_NASCIDOS_VIVOS_POPUL_FEM%*PERC_PARTIC_MASC_VIGIL%)*100</f>
        <v>0.04</v>
      </c>
      <c r="F28" s="50" t="s">
        <v>172</v>
      </c>
    </row>
    <row r="29" spans="2:6" s="81" customFormat="1" x14ac:dyDescent="0.15">
      <c r="B29" s="2" t="s">
        <v>5</v>
      </c>
      <c r="C29" s="214" t="s">
        <v>101</v>
      </c>
      <c r="D29" s="214"/>
      <c r="E29" s="40">
        <f>(DIAS_PAGOS_EMPRESA_ACID_TRAB/DIAS_NO_MES)/MESES_NO_ANO*PERC_EMPREG_AFAST_TRAB%*100</f>
        <v>0.02</v>
      </c>
      <c r="F29" s="33" t="s">
        <v>168</v>
      </c>
    </row>
    <row r="30" spans="2:6" s="81" customFormat="1" ht="33" x14ac:dyDescent="0.15">
      <c r="B30" s="2" t="s">
        <v>6</v>
      </c>
      <c r="C30" s="216" t="s">
        <v>102</v>
      </c>
      <c r="D30" s="216"/>
      <c r="E30" s="50">
        <f>(((DIAS_LICENCA_MATERNIDADE/DIAS_NO_MES)/MESES_NO_ANO)*PERC_NASCIDOS_VIVOS_POPUL_FEM%*PERC_PARTIC_FEM_VIGIL%*PERC_GPS_FGTS%*100)</f>
        <v>0.14000000000000001</v>
      </c>
      <c r="F30" s="50" t="s">
        <v>173</v>
      </c>
    </row>
    <row r="31" spans="2:6" s="81" customFormat="1" x14ac:dyDescent="0.15">
      <c r="B31" s="2" t="s">
        <v>7</v>
      </c>
      <c r="C31" s="214" t="str">
        <f>OUTRAS_AUSENCIAS_DESCRICAO</f>
        <v>Outras Ausências (Especificar - em %)</v>
      </c>
      <c r="D31" s="214"/>
      <c r="E31" s="40">
        <f>PERC_SUBSTITUTO_OUTRAS_AUSENCIAS</f>
        <v>0</v>
      </c>
      <c r="F31" s="33"/>
    </row>
    <row r="33" spans="2:7" ht="20.25" x14ac:dyDescent="0.3">
      <c r="B33" s="28" t="s">
        <v>151</v>
      </c>
    </row>
    <row r="34" spans="2:7" ht="42.75" customHeight="1" x14ac:dyDescent="0.3">
      <c r="B34" s="182" t="s">
        <v>175</v>
      </c>
      <c r="C34" s="182"/>
      <c r="D34" s="182"/>
      <c r="E34" s="182"/>
      <c r="G34" s="102"/>
    </row>
  </sheetData>
  <sheetProtection sheet="1" objects="1" scenarios="1"/>
  <mergeCells count="25">
    <mergeCell ref="C22:D22"/>
    <mergeCell ref="C25:D25"/>
    <mergeCell ref="C26:D26"/>
    <mergeCell ref="C4:D4"/>
    <mergeCell ref="C5:D5"/>
    <mergeCell ref="C6:D6"/>
    <mergeCell ref="C10:D10"/>
    <mergeCell ref="C11:D11"/>
    <mergeCell ref="B7:F7"/>
    <mergeCell ref="B34:E34"/>
    <mergeCell ref="C31:D31"/>
    <mergeCell ref="C8:D8"/>
    <mergeCell ref="C9:D9"/>
    <mergeCell ref="C12:D12"/>
    <mergeCell ref="C13:D13"/>
    <mergeCell ref="C14:D14"/>
    <mergeCell ref="C15:D15"/>
    <mergeCell ref="C19:D19"/>
    <mergeCell ref="C20:D20"/>
    <mergeCell ref="C21:D21"/>
    <mergeCell ref="C16:D16"/>
    <mergeCell ref="B17:D17"/>
    <mergeCell ref="C28:D28"/>
    <mergeCell ref="C29:D29"/>
    <mergeCell ref="C30:D30"/>
  </mergeCells>
  <dataValidations count="2">
    <dataValidation type="decimal" allowBlank="1" showInputMessage="1" showErrorMessage="1" errorTitle="Erro na inserção de dados." error="O percentual do Aviso Prévio Indenizado deverá ser inferior a 0,64%, conforme determinou o Tribunal de Contas da União por meio do Acórdão nº 1.904/2007 - Plenário." sqref="E20" xr:uid="{00000000-0002-0000-0200-000000000000}">
      <formula1>0</formula1>
      <formula2>0.46</formula2>
    </dataValidation>
    <dataValidation type="decimal" allowBlank="1" showInputMessage="1" showErrorMessage="1" errorTitle="Erro na inserção de dados." error="O percentual do Aviso Prévio Indenizado deverá ser inferior a 1,94%, conforme determinou o Tribunal de Contas da União por meio do Acórdão nº 1.904/2007 - Plenário." sqref="E21" xr:uid="{00000000-0002-0000-0200-000001000000}">
      <formula1>0</formula1>
      <formula2>1.94</formula2>
    </dataValidation>
  </dataValidations>
  <pageMargins left="0.18" right="0.17" top="0.1" bottom="0.03" header="0.14000000000000001" footer="0.04"/>
  <pageSetup paperSize="9" orientation="landscape" r:id="rId1"/>
  <ignoredErrors>
    <ignoredError sqref="E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105"/>
  <sheetViews>
    <sheetView zoomScaleNormal="100" zoomScaleSheetLayoutView="100" workbookViewId="0"/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7.85546875" style="13" customWidth="1"/>
    <col min="5" max="5" width="13.5703125" style="13" customWidth="1"/>
    <col min="6" max="6" width="15.42578125" style="13" bestFit="1" customWidth="1"/>
    <col min="7" max="16384" width="9.140625" style="7"/>
  </cols>
  <sheetData>
    <row r="1" spans="2:6" ht="20.25" x14ac:dyDescent="0.35">
      <c r="B1" s="239" t="str">
        <f>RAMO</f>
        <v>RAMO:</v>
      </c>
      <c r="C1" s="240"/>
      <c r="D1" s="240"/>
      <c r="E1" s="240"/>
      <c r="F1" s="241"/>
    </row>
    <row r="2" spans="2:6" ht="20.25" x14ac:dyDescent="0.35">
      <c r="B2" s="242" t="str">
        <f>UG</f>
        <v>UNIDADE GESTORA (SIGLA):</v>
      </c>
      <c r="C2" s="243"/>
      <c r="D2" s="244"/>
      <c r="E2" s="79" t="s">
        <v>51</v>
      </c>
      <c r="F2" s="80" t="str">
        <f>DATA_DO_ORCAMENTO_ESTIMATIVO</f>
        <v>XX/XX/20XX</v>
      </c>
    </row>
    <row r="3" spans="2:6" s="81" customFormat="1" ht="25.5" x14ac:dyDescent="0.5">
      <c r="B3" s="174" t="s">
        <v>157</v>
      </c>
      <c r="C3" s="174"/>
      <c r="D3" s="174"/>
      <c r="E3" s="174"/>
      <c r="F3" s="174"/>
    </row>
    <row r="4" spans="2:6" s="81" customFormat="1" ht="15.95" customHeight="1" x14ac:dyDescent="0.3">
      <c r="B4" s="163" t="s">
        <v>91</v>
      </c>
      <c r="C4" s="163"/>
      <c r="D4" s="163"/>
      <c r="E4" s="163"/>
      <c r="F4" s="163"/>
    </row>
    <row r="5" spans="2:6" s="81" customFormat="1" ht="15.95" customHeight="1" x14ac:dyDescent="0.3">
      <c r="B5" s="166" t="s">
        <v>176</v>
      </c>
      <c r="C5" s="166"/>
      <c r="D5" s="245" t="str">
        <f>NUMERO_PROCESSO</f>
        <v>19.00.6150.0004492/2020-80</v>
      </c>
      <c r="E5" s="245"/>
      <c r="F5" s="245"/>
    </row>
    <row r="6" spans="2:6" s="81" customFormat="1" ht="15.75" customHeight="1" x14ac:dyDescent="0.3">
      <c r="B6" s="164" t="s">
        <v>177</v>
      </c>
      <c r="C6" s="164"/>
      <c r="D6" s="237" t="str">
        <f>MODALIDADE_DE_LICITACAO</f>
        <v>Pregão nº</v>
      </c>
      <c r="E6" s="237"/>
      <c r="F6" s="108" t="str">
        <f>NUMERO_PREGAO</f>
        <v>XX/20XX</v>
      </c>
    </row>
    <row r="7" spans="2:6" s="82" customFormat="1" ht="15.75" customHeight="1" x14ac:dyDescent="0.3">
      <c r="B7" s="238" t="s">
        <v>52</v>
      </c>
      <c r="C7" s="238"/>
      <c r="D7" s="238"/>
      <c r="E7" s="238"/>
      <c r="F7" s="238"/>
    </row>
    <row r="8" spans="2:6" s="81" customFormat="1" ht="18" customHeight="1" x14ac:dyDescent="0.3">
      <c r="B8" s="19" t="s">
        <v>2</v>
      </c>
      <c r="C8" s="166" t="s">
        <v>57</v>
      </c>
      <c r="D8" s="166"/>
      <c r="E8" s="166"/>
      <c r="F8" s="83" t="str">
        <f>DATA_APRESENTACAO_PROPOSTA</f>
        <v>XX/XX/20XX</v>
      </c>
    </row>
    <row r="9" spans="2:6" s="81" customFormat="1" ht="15.95" customHeight="1" x14ac:dyDescent="0.15">
      <c r="B9" s="1" t="s">
        <v>3</v>
      </c>
      <c r="C9" s="58" t="s">
        <v>33</v>
      </c>
      <c r="D9" s="235" t="str">
        <f>IF(LOCAL_DE_EXECUCAO="","",LOCAL_DE_EXECUCAO)</f>
        <v/>
      </c>
      <c r="E9" s="235"/>
      <c r="F9" s="235"/>
    </row>
    <row r="10" spans="2:6" s="81" customFormat="1" ht="18.75" customHeight="1" x14ac:dyDescent="0.3">
      <c r="B10" s="19" t="s">
        <v>4</v>
      </c>
      <c r="C10" s="166" t="s">
        <v>34</v>
      </c>
      <c r="D10" s="166"/>
      <c r="E10" s="166"/>
      <c r="F10" s="84" t="str">
        <f>ACORDO_COLETIVO</f>
        <v>XX/20XX</v>
      </c>
    </row>
    <row r="11" spans="2:6" s="81" customFormat="1" ht="15.95" customHeight="1" x14ac:dyDescent="0.3">
      <c r="B11" s="1" t="s">
        <v>5</v>
      </c>
      <c r="C11" s="235" t="s">
        <v>58</v>
      </c>
      <c r="D11" s="235"/>
      <c r="E11" s="235"/>
      <c r="F11" s="85">
        <f>NUMERO_MESES_EXEC_CONTRATUAL</f>
        <v>12</v>
      </c>
    </row>
    <row r="12" spans="2:6" s="81" customFormat="1" x14ac:dyDescent="0.3">
      <c r="B12" s="1" t="s">
        <v>6</v>
      </c>
      <c r="C12" s="236" t="s">
        <v>78</v>
      </c>
      <c r="D12" s="236"/>
      <c r="E12" s="236"/>
      <c r="F12" s="86">
        <f>IF(QTDE_POSTOS="","",QTDE_POSTOS)</f>
        <v>7</v>
      </c>
    </row>
    <row r="13" spans="2:6" s="89" customFormat="1" ht="15" customHeight="1" x14ac:dyDescent="0.2">
      <c r="B13" s="87" t="s">
        <v>152</v>
      </c>
      <c r="C13" s="88"/>
      <c r="D13" s="88"/>
      <c r="E13" s="88"/>
      <c r="F13" s="88"/>
    </row>
    <row r="14" spans="2:6" s="81" customFormat="1" x14ac:dyDescent="0.3">
      <c r="B14" s="19">
        <v>1</v>
      </c>
      <c r="C14" s="176" t="s">
        <v>54</v>
      </c>
      <c r="D14" s="176"/>
      <c r="E14" s="232" t="str">
        <f>IF(TIPO_DE_SERVICO="","",TIPO_DE_SERVICO)</f>
        <v>Garçom</v>
      </c>
      <c r="F14" s="232"/>
    </row>
    <row r="15" spans="2:6" s="82" customFormat="1" x14ac:dyDescent="0.3">
      <c r="B15" s="19">
        <v>2</v>
      </c>
      <c r="C15" s="21" t="s">
        <v>53</v>
      </c>
      <c r="D15" s="231" t="str">
        <f>IF(CBO="","",CBO)</f>
        <v>5134-05</v>
      </c>
      <c r="E15" s="231"/>
      <c r="F15" s="231"/>
    </row>
    <row r="16" spans="2:6" s="81" customFormat="1" ht="15" customHeight="1" x14ac:dyDescent="0.3">
      <c r="B16" s="19">
        <v>3</v>
      </c>
      <c r="C16" s="104" t="s">
        <v>55</v>
      </c>
      <c r="D16" s="232" t="str">
        <f>IF(CATEGORIA_PROFISSIONAL="","",CATEGORIA_PROFISSIONAL)</f>
        <v>Garçom</v>
      </c>
      <c r="E16" s="232"/>
      <c r="F16" s="232"/>
    </row>
    <row r="17" spans="2:6" s="81" customFormat="1" ht="15" customHeight="1" x14ac:dyDescent="0.3">
      <c r="B17" s="19">
        <v>4</v>
      </c>
      <c r="C17" s="179" t="s">
        <v>56</v>
      </c>
      <c r="D17" s="179"/>
      <c r="E17" s="179"/>
      <c r="F17" s="105">
        <f>DATA_BASE_CATEGORIA</f>
        <v>43831</v>
      </c>
    </row>
    <row r="18" spans="2:6" s="90" customFormat="1" ht="20.25" customHeight="1" x14ac:dyDescent="0.3">
      <c r="B18" s="233" t="s">
        <v>37</v>
      </c>
      <c r="C18" s="233"/>
      <c r="D18" s="233"/>
      <c r="E18" s="233"/>
      <c r="F18" s="233"/>
    </row>
    <row r="19" spans="2:6" x14ac:dyDescent="0.3">
      <c r="B19" s="201" t="s">
        <v>49</v>
      </c>
      <c r="C19" s="201"/>
      <c r="D19" s="201"/>
      <c r="E19" s="201"/>
      <c r="F19" s="95">
        <f>IF(EMPREG_POR_POSTO="","",EMPREG_POR_POSTO)</f>
        <v>1</v>
      </c>
    </row>
    <row r="20" spans="2:6" x14ac:dyDescent="0.3">
      <c r="B20" s="45" t="s">
        <v>8</v>
      </c>
      <c r="E20" s="8"/>
      <c r="F20" s="8"/>
    </row>
    <row r="21" spans="2:6" x14ac:dyDescent="0.3">
      <c r="B21" s="1">
        <v>1</v>
      </c>
      <c r="C21" s="209" t="s">
        <v>9</v>
      </c>
      <c r="D21" s="209"/>
      <c r="E21" s="209"/>
      <c r="F21" s="3" t="s">
        <v>13</v>
      </c>
    </row>
    <row r="22" spans="2:6" x14ac:dyDescent="0.3">
      <c r="B22" s="1" t="s">
        <v>2</v>
      </c>
      <c r="C22" s="202" t="s">
        <v>86</v>
      </c>
      <c r="D22" s="202"/>
      <c r="E22" s="202"/>
      <c r="F22" s="48">
        <f>SALARIO_BASE</f>
        <v>1826.64</v>
      </c>
    </row>
    <row r="23" spans="2:6" x14ac:dyDescent="0.3">
      <c r="B23" s="1" t="s">
        <v>3</v>
      </c>
      <c r="C23" s="214" t="s">
        <v>88</v>
      </c>
      <c r="D23" s="214"/>
      <c r="E23" s="214"/>
      <c r="F23" s="4">
        <f>PERC_ADIC_PERIC%*SALARIO_BASE</f>
        <v>0</v>
      </c>
    </row>
    <row r="24" spans="2:6" ht="15.75" customHeight="1" x14ac:dyDescent="0.3">
      <c r="B24" s="1" t="s">
        <v>4</v>
      </c>
      <c r="C24" s="234" t="s">
        <v>76</v>
      </c>
      <c r="D24" s="234"/>
      <c r="E24" s="234"/>
      <c r="F24" s="48">
        <f>((AL_1_A_SAL_BASE+AL_1_B_ADIC_PERIC)/DIVISOR_DE_HORAS)*DIAS_NA_SEMANA*MEDIA_ANUAL_DIAS_TRABALHO_MES*PERC_ADIC_NOT%</f>
        <v>0</v>
      </c>
    </row>
    <row r="25" spans="2:6" ht="15.75" customHeight="1" x14ac:dyDescent="0.3">
      <c r="B25" s="1" t="s">
        <v>5</v>
      </c>
      <c r="C25" s="214" t="s">
        <v>80</v>
      </c>
      <c r="D25" s="214"/>
      <c r="E25" s="214"/>
      <c r="F25" s="4">
        <f>((AL_1_A_SAL_BASE+AL_1_B_ADIC_PERIC)/DIVISOR_DE_HORAS)*((HORA_NORMAL-HORA_NOTURNA)/HORA_NOTURNA)*DIAS_NA_SEMANA*MEDIA_ANUAL_DIAS_TRABALHO_MES*PERC_ADIC_NOT%</f>
        <v>0</v>
      </c>
    </row>
    <row r="26" spans="2:6" ht="15.75" customHeight="1" x14ac:dyDescent="0.3">
      <c r="B26" s="1" t="s">
        <v>6</v>
      </c>
      <c r="C26" s="183" t="s">
        <v>154</v>
      </c>
      <c r="D26" s="184"/>
      <c r="E26" s="185"/>
      <c r="F26" s="48">
        <f>PERC_ADIC_INS%*SAL_MINIMO</f>
        <v>0</v>
      </c>
    </row>
    <row r="27" spans="2:6" x14ac:dyDescent="0.3">
      <c r="B27" s="1" t="s">
        <v>7</v>
      </c>
      <c r="C27" s="206" t="str">
        <f>OUTROS_REMUNERACAO_1_DESCRICAO</f>
        <v>Outras Remunerações 1 (Especificar)</v>
      </c>
      <c r="D27" s="207"/>
      <c r="E27" s="208"/>
      <c r="F27" s="4">
        <f>OUTROS_REMUNERACAO_1</f>
        <v>0</v>
      </c>
    </row>
    <row r="28" spans="2:6" x14ac:dyDescent="0.3">
      <c r="B28" s="1" t="s">
        <v>10</v>
      </c>
      <c r="C28" s="226" t="str">
        <f>OUTROS_REMUNERACAO_2_DESCRICAO</f>
        <v>Outras Remunerações 2 (Especificar)</v>
      </c>
      <c r="D28" s="227"/>
      <c r="E28" s="228"/>
      <c r="F28" s="48">
        <f>OUTROS_REMUNERACAO_2</f>
        <v>0</v>
      </c>
    </row>
    <row r="29" spans="2:6" x14ac:dyDescent="0.3">
      <c r="B29" s="1" t="s">
        <v>11</v>
      </c>
      <c r="C29" s="206" t="str">
        <f>OUTROS_REMUNERACAO_3_DESCRICAO</f>
        <v>Outras Remunerações 3 (Especificar)</v>
      </c>
      <c r="D29" s="207"/>
      <c r="E29" s="208"/>
      <c r="F29" s="4">
        <f>OUTROS_REMUNERACAO_3</f>
        <v>0</v>
      </c>
    </row>
    <row r="30" spans="2:6" x14ac:dyDescent="0.3">
      <c r="B30" s="229" t="s">
        <v>43</v>
      </c>
      <c r="C30" s="229"/>
      <c r="D30" s="229"/>
      <c r="E30" s="229"/>
      <c r="F30" s="35">
        <f>SUM(F22:F29)</f>
        <v>1826.64</v>
      </c>
    </row>
    <row r="31" spans="2:6" x14ac:dyDescent="0.3">
      <c r="B31" s="45" t="s">
        <v>59</v>
      </c>
      <c r="E31" s="15"/>
      <c r="F31" s="15"/>
    </row>
    <row r="32" spans="2:6" x14ac:dyDescent="0.3">
      <c r="B32" s="45" t="s">
        <v>104</v>
      </c>
      <c r="C32" s="6"/>
      <c r="D32" s="16"/>
      <c r="E32" s="14"/>
      <c r="F32" s="14"/>
    </row>
    <row r="33" spans="2:6" x14ac:dyDescent="0.3">
      <c r="B33" s="1" t="s">
        <v>60</v>
      </c>
      <c r="C33" s="201" t="s">
        <v>87</v>
      </c>
      <c r="D33" s="201"/>
      <c r="E33" s="3" t="s">
        <v>1</v>
      </c>
      <c r="F33" s="3" t="s">
        <v>13</v>
      </c>
    </row>
    <row r="34" spans="2:6" x14ac:dyDescent="0.3">
      <c r="B34" s="1" t="s">
        <v>2</v>
      </c>
      <c r="C34" s="216" t="s">
        <v>44</v>
      </c>
      <c r="D34" s="216"/>
      <c r="E34" s="50">
        <f>PERC_DEC_TERC</f>
        <v>8.33</v>
      </c>
      <c r="F34" s="49">
        <f>PERC_DEC_TERC%*MOD_1_REMUNERACAO</f>
        <v>152.16</v>
      </c>
    </row>
    <row r="35" spans="2:6" s="11" customFormat="1" x14ac:dyDescent="0.3">
      <c r="B35" s="2" t="s">
        <v>3</v>
      </c>
      <c r="C35" s="214" t="s">
        <v>89</v>
      </c>
      <c r="D35" s="214"/>
      <c r="E35" s="33">
        <f>PERC_ADIC_FERIAS</f>
        <v>2.78</v>
      </c>
      <c r="F35" s="31">
        <f>PERC_ADIC_FERIAS%*MOD_1_REMUNERACAO</f>
        <v>50.78</v>
      </c>
    </row>
    <row r="36" spans="2:6" s="91" customFormat="1" x14ac:dyDescent="0.3">
      <c r="B36" s="192" t="s">
        <v>43</v>
      </c>
      <c r="C36" s="193"/>
      <c r="D36" s="193"/>
      <c r="E36" s="194"/>
      <c r="F36" s="36">
        <f>SUM(F34:F35)</f>
        <v>202.94</v>
      </c>
    </row>
    <row r="37" spans="2:6" s="91" customFormat="1" ht="31.5" customHeight="1" x14ac:dyDescent="0.3">
      <c r="B37" s="230" t="s">
        <v>61</v>
      </c>
      <c r="C37" s="230"/>
      <c r="D37" s="230"/>
      <c r="E37" s="230"/>
      <c r="F37" s="230"/>
    </row>
    <row r="38" spans="2:6" s="91" customFormat="1" ht="34.5" customHeight="1" x14ac:dyDescent="0.3">
      <c r="B38" s="1" t="s">
        <v>62</v>
      </c>
      <c r="C38" s="215" t="s">
        <v>90</v>
      </c>
      <c r="D38" s="215"/>
      <c r="E38" s="3" t="s">
        <v>1</v>
      </c>
      <c r="F38" s="3" t="s">
        <v>13</v>
      </c>
    </row>
    <row r="39" spans="2:6" x14ac:dyDescent="0.3">
      <c r="B39" s="1" t="s">
        <v>2</v>
      </c>
      <c r="C39" s="216" t="s">
        <v>38</v>
      </c>
      <c r="D39" s="216"/>
      <c r="E39" s="50">
        <f>PERC_INSS</f>
        <v>20</v>
      </c>
      <c r="F39" s="49">
        <f>PERC_INSS%*(MOD_1_REMUNERACAO+SUBMOD_2_1_DEC_TERC_ADIC_FERIAS)</f>
        <v>405.92</v>
      </c>
    </row>
    <row r="40" spans="2:6" s="81" customFormat="1" x14ac:dyDescent="0.15">
      <c r="B40" s="2" t="s">
        <v>3</v>
      </c>
      <c r="C40" s="214" t="s">
        <v>40</v>
      </c>
      <c r="D40" s="214"/>
      <c r="E40" s="40">
        <f>PERC_SAL_EDUCACAO</f>
        <v>2.5</v>
      </c>
      <c r="F40" s="31">
        <f>PERC_SAL_EDUCACAO%*(MOD_1_REMUNERACAO+SUBMOD_2_1_DEC_TERC_ADIC_FERIAS)</f>
        <v>50.74</v>
      </c>
    </row>
    <row r="41" spans="2:6" s="81" customFormat="1" x14ac:dyDescent="0.15">
      <c r="B41" s="2" t="s">
        <v>4</v>
      </c>
      <c r="C41" s="216" t="s">
        <v>83</v>
      </c>
      <c r="D41" s="216"/>
      <c r="E41" s="50">
        <f>PERC_RAT</f>
        <v>3</v>
      </c>
      <c r="F41" s="49">
        <f>PERC_RAT%*(MOD_1_REMUNERACAO+SUBMOD_2_1_DEC_TERC_ADIC_FERIAS)</f>
        <v>60.89</v>
      </c>
    </row>
    <row r="42" spans="2:6" s="81" customFormat="1" x14ac:dyDescent="0.15">
      <c r="B42" s="2" t="s">
        <v>5</v>
      </c>
      <c r="C42" s="214" t="s">
        <v>81</v>
      </c>
      <c r="D42" s="214"/>
      <c r="E42" s="33">
        <f>PERC_SESC</f>
        <v>1.5</v>
      </c>
      <c r="F42" s="31">
        <f>PERC_SESC%*(MOD_1_REMUNERACAO+SUBMOD_2_1_DEC_TERC_ADIC_FERIAS)</f>
        <v>30.44</v>
      </c>
    </row>
    <row r="43" spans="2:6" s="81" customFormat="1" x14ac:dyDescent="0.15">
      <c r="B43" s="2" t="s">
        <v>6</v>
      </c>
      <c r="C43" s="216" t="s">
        <v>82</v>
      </c>
      <c r="D43" s="216"/>
      <c r="E43" s="50">
        <f>PERC_SENAC</f>
        <v>1</v>
      </c>
      <c r="F43" s="49">
        <f>PERC_SENAC%*(MOD_1_REMUNERACAO+SUBMOD_2_1_DEC_TERC_ADIC_FERIAS)</f>
        <v>20.3</v>
      </c>
    </row>
    <row r="44" spans="2:6" s="82" customFormat="1" x14ac:dyDescent="0.15">
      <c r="B44" s="2" t="s">
        <v>7</v>
      </c>
      <c r="C44" s="214" t="s">
        <v>42</v>
      </c>
      <c r="D44" s="214"/>
      <c r="E44" s="40">
        <f>PERC_SEBRAE</f>
        <v>0.6</v>
      </c>
      <c r="F44" s="31">
        <f>PERC_SEBRAE%*(MOD_1_REMUNERACAO+SUBMOD_2_1_DEC_TERC_ADIC_FERIAS)</f>
        <v>12.18</v>
      </c>
    </row>
    <row r="45" spans="2:6" s="82" customFormat="1" x14ac:dyDescent="0.15">
      <c r="B45" s="2" t="s">
        <v>10</v>
      </c>
      <c r="C45" s="216" t="s">
        <v>39</v>
      </c>
      <c r="D45" s="216"/>
      <c r="E45" s="50">
        <f>PERC_INCRA</f>
        <v>0.2</v>
      </c>
      <c r="F45" s="49">
        <f>PERC_INCRA%*(MOD_1_REMUNERACAO+SUBMOD_2_1_DEC_TERC_ADIC_FERIAS)</f>
        <v>4.0599999999999996</v>
      </c>
    </row>
    <row r="46" spans="2:6" x14ac:dyDescent="0.3">
      <c r="B46" s="2" t="s">
        <v>11</v>
      </c>
      <c r="C46" s="214" t="s">
        <v>41</v>
      </c>
      <c r="D46" s="214"/>
      <c r="E46" s="40">
        <f>PERC_FGTS</f>
        <v>8</v>
      </c>
      <c r="F46" s="31">
        <f>PERC_FGTS%*(MOD_1_REMUNERACAO+SUBMOD_2_1_DEC_TERC_ADIC_FERIAS)</f>
        <v>162.37</v>
      </c>
    </row>
    <row r="47" spans="2:6" x14ac:dyDescent="0.3">
      <c r="B47" s="192" t="s">
        <v>43</v>
      </c>
      <c r="C47" s="193"/>
      <c r="D47" s="193"/>
      <c r="E47" s="194"/>
      <c r="F47" s="37">
        <f>SUM(F39:F46)</f>
        <v>746.9</v>
      </c>
    </row>
    <row r="48" spans="2:6" ht="15.75" customHeight="1" x14ac:dyDescent="0.3">
      <c r="B48" s="45" t="s">
        <v>64</v>
      </c>
      <c r="C48" s="82"/>
      <c r="D48" s="82"/>
      <c r="E48" s="82"/>
      <c r="F48" s="82"/>
    </row>
    <row r="49" spans="2:6" ht="15.75" customHeight="1" x14ac:dyDescent="0.3">
      <c r="B49" s="1" t="s">
        <v>84</v>
      </c>
      <c r="C49" s="209" t="s">
        <v>14</v>
      </c>
      <c r="D49" s="209"/>
      <c r="E49" s="209"/>
      <c r="F49" s="3" t="s">
        <v>13</v>
      </c>
    </row>
    <row r="50" spans="2:6" x14ac:dyDescent="0.3">
      <c r="B50" s="19" t="s">
        <v>2</v>
      </c>
      <c r="C50" s="216" t="s">
        <v>15</v>
      </c>
      <c r="D50" s="216"/>
      <c r="E50" s="216"/>
      <c r="F50" s="49">
        <f>IF(((TRANSPORTE_POR_DIA*DIAS_TRABALHADOS_NO_MES)-(PERC_DESC_TRANSP_REMUNERACAO%*(AL_1_A_SAL_BASE/2)))&gt;0,((TRANSPORTE_POR_DIA*DIAS_TRABALHADOS_NO_MES)-(PERC_DESC_TRANSP_REMUNERACAO%*(AL_1_A_SAL_BASE/2))),0)</f>
        <v>280.04000000000002</v>
      </c>
    </row>
    <row r="51" spans="2:6" s="91" customFormat="1" x14ac:dyDescent="0.3">
      <c r="B51" s="19" t="s">
        <v>3</v>
      </c>
      <c r="C51" s="214" t="s">
        <v>63</v>
      </c>
      <c r="D51" s="214"/>
      <c r="E51" s="214"/>
      <c r="F51" s="31">
        <f>ALIMENTACAO_POR_DIA*DIAS_TRABALHADOS_NO_MES</f>
        <v>739.64</v>
      </c>
    </row>
    <row r="52" spans="2:6" s="91" customFormat="1" x14ac:dyDescent="0.3">
      <c r="B52" s="19" t="s">
        <v>4</v>
      </c>
      <c r="C52" s="226" t="str">
        <f>OUTROS_BENEFICIOS_1_DESCRICAO</f>
        <v>Outros Benefícios 1 (Assistência Odontológica)</v>
      </c>
      <c r="D52" s="227"/>
      <c r="E52" s="228"/>
      <c r="F52" s="49">
        <f>OUTROS_BENEFICIOS_1</f>
        <v>10.63</v>
      </c>
    </row>
    <row r="53" spans="2:6" s="91" customFormat="1" x14ac:dyDescent="0.3">
      <c r="B53" s="19" t="s">
        <v>5</v>
      </c>
      <c r="C53" s="206" t="str">
        <f>OUTROS_BENEFICIOS_2_DESCRICAO</f>
        <v>Outros Benefícios 2 (Assistência Funeral)</v>
      </c>
      <c r="D53" s="207"/>
      <c r="E53" s="208"/>
      <c r="F53" s="31">
        <f>OUTROS_BENEFICIOS_2</f>
        <v>2</v>
      </c>
    </row>
    <row r="54" spans="2:6" s="91" customFormat="1" x14ac:dyDescent="0.3">
      <c r="B54" s="19" t="s">
        <v>6</v>
      </c>
      <c r="C54" s="226" t="str">
        <f>OUTROS_BENEFICIOS_3_DESCRICAO</f>
        <v>Outros Benefícios 3 (Especificar)</v>
      </c>
      <c r="D54" s="227"/>
      <c r="E54" s="228"/>
      <c r="F54" s="49">
        <f>OUTROS_BENEFICIOS_3</f>
        <v>0</v>
      </c>
    </row>
    <row r="55" spans="2:6" s="91" customFormat="1" ht="15" customHeight="1" x14ac:dyDescent="0.3">
      <c r="B55" s="229" t="s">
        <v>43</v>
      </c>
      <c r="C55" s="229"/>
      <c r="D55" s="229"/>
      <c r="E55" s="229"/>
      <c r="F55" s="35">
        <f>SUM(F50:F54)</f>
        <v>1032.31</v>
      </c>
    </row>
    <row r="56" spans="2:6" s="91" customFormat="1" x14ac:dyDescent="0.3">
      <c r="B56" s="45" t="s">
        <v>65</v>
      </c>
      <c r="C56" s="6"/>
      <c r="D56" s="16"/>
      <c r="E56" s="14"/>
      <c r="F56" s="14"/>
    </row>
    <row r="57" spans="2:6" s="91" customFormat="1" ht="15" customHeight="1" x14ac:dyDescent="0.3">
      <c r="B57" s="1">
        <v>3</v>
      </c>
      <c r="C57" s="201" t="s">
        <v>45</v>
      </c>
      <c r="D57" s="201"/>
      <c r="E57" s="3" t="s">
        <v>1</v>
      </c>
      <c r="F57" s="3" t="s">
        <v>13</v>
      </c>
    </row>
    <row r="58" spans="2:6" s="91" customFormat="1" x14ac:dyDescent="0.3">
      <c r="B58" s="1" t="s">
        <v>2</v>
      </c>
      <c r="C58" s="217" t="s">
        <v>46</v>
      </c>
      <c r="D58" s="217"/>
      <c r="E58" s="50">
        <f>PERC_AVISO_PREVIO_IND</f>
        <v>0.28999999999999998</v>
      </c>
      <c r="F58" s="49">
        <f>PERC_AVISO_PREVIO_IND%*(MOD_1_REMUNERACAO+SUBMOD_2_1_DEC_TERC_ADIC_FERIAS+AL_2_2_FGTS+SUBMOD_2_3_BENEFICIOS)</f>
        <v>9.35</v>
      </c>
    </row>
    <row r="59" spans="2:6" s="91" customFormat="1" x14ac:dyDescent="0.3">
      <c r="B59" s="2" t="s">
        <v>3</v>
      </c>
      <c r="C59" s="218" t="s">
        <v>47</v>
      </c>
      <c r="D59" s="218"/>
      <c r="E59" s="40">
        <f>PERC_AVISO_PREVIO_TRAB</f>
        <v>1.1599999999999999</v>
      </c>
      <c r="F59" s="31">
        <f>PERC_AVISO_PREVIO_TRAB%*(MOD_1_REMUNERACAO+SUBMOD_2_1_DEC_TERC_ADIC_FERIAS+SUBMOD_2_2_GPS_FGTS+SUBMOD_2_3_BENEFICIOS)</f>
        <v>44.18</v>
      </c>
    </row>
    <row r="60" spans="2:6" s="81" customFormat="1" x14ac:dyDescent="0.15">
      <c r="B60" s="2" t="s">
        <v>4</v>
      </c>
      <c r="C60" s="217" t="s">
        <v>184</v>
      </c>
      <c r="D60" s="217"/>
      <c r="E60" s="50">
        <f>PERC_MULTA_FGTS_AV_PREV_TRAB</f>
        <v>0.04</v>
      </c>
      <c r="F60" s="49">
        <f>PERC_MULTA_FGTS_AV_PREV_TRAB%*(MOD_1_REMUNERACAO+SUBMOD_2_1_DEC_TERC_ADIC_FERIAS)</f>
        <v>0.81</v>
      </c>
    </row>
    <row r="61" spans="2:6" s="81" customFormat="1" x14ac:dyDescent="0.3">
      <c r="B61" s="192" t="s">
        <v>43</v>
      </c>
      <c r="C61" s="193"/>
      <c r="D61" s="193"/>
      <c r="E61" s="194"/>
      <c r="F61" s="36">
        <f>SUM(F58:F60)</f>
        <v>54.34</v>
      </c>
    </row>
    <row r="62" spans="2:6" ht="7.5" customHeight="1" x14ac:dyDescent="0.3">
      <c r="B62" s="10"/>
      <c r="C62" s="11"/>
      <c r="D62" s="12"/>
      <c r="E62" s="8"/>
      <c r="F62" s="8"/>
    </row>
    <row r="63" spans="2:6" s="81" customFormat="1" ht="15.95" customHeight="1" x14ac:dyDescent="0.3">
      <c r="B63" s="45" t="s">
        <v>66</v>
      </c>
      <c r="C63" s="6"/>
      <c r="D63" s="16"/>
      <c r="E63" s="7"/>
      <c r="F63" s="7"/>
    </row>
    <row r="64" spans="2:6" s="81" customFormat="1" ht="15.95" customHeight="1" x14ac:dyDescent="0.3">
      <c r="B64" s="45" t="s">
        <v>96</v>
      </c>
      <c r="C64" s="6"/>
      <c r="D64" s="16"/>
      <c r="E64" s="14"/>
      <c r="F64" s="14"/>
    </row>
    <row r="65" spans="2:6" s="81" customFormat="1" x14ac:dyDescent="0.15">
      <c r="B65" s="1" t="s">
        <v>20</v>
      </c>
      <c r="C65" s="219" t="s">
        <v>97</v>
      </c>
      <c r="D65" s="219"/>
      <c r="E65" s="3" t="s">
        <v>1</v>
      </c>
      <c r="F65" s="3" t="s">
        <v>13</v>
      </c>
    </row>
    <row r="66" spans="2:6" s="81" customFormat="1" ht="15.95" customHeight="1" x14ac:dyDescent="0.15">
      <c r="B66" s="2" t="s">
        <v>2</v>
      </c>
      <c r="C66" s="216" t="s">
        <v>98</v>
      </c>
      <c r="D66" s="216"/>
      <c r="E66" s="50">
        <f>PERC_SUBSTITUTO_FERIAS</f>
        <v>8.33</v>
      </c>
      <c r="F66" s="49">
        <f>PERC_SUBSTITUTO_FERIAS%*(MOD_1_REMUNERACAO+MOD_2_ENCARGOS_BENEFICIOS+MOD_3_PROVISAO_RESCISAO)</f>
        <v>321.8</v>
      </c>
    </row>
    <row r="67" spans="2:6" s="81" customFormat="1" ht="15.95" customHeight="1" x14ac:dyDescent="0.15">
      <c r="B67" s="2" t="s">
        <v>3</v>
      </c>
      <c r="C67" s="214" t="s">
        <v>99</v>
      </c>
      <c r="D67" s="214"/>
      <c r="E67" s="40">
        <f>PERC_SUBSTITUTO_AUSENCIAS_LEGAIS</f>
        <v>2.2200000000000002</v>
      </c>
      <c r="F67" s="31">
        <f>PERC_SUBSTITUTO_AUSENCIAS_LEGAIS%*(MOD_1_REMUNERACAO+MOD_2_ENCARGOS_BENEFICIOS+MOD_3_PROVISAO_RESCISAO)</f>
        <v>85.76</v>
      </c>
    </row>
    <row r="68" spans="2:6" s="81" customFormat="1" ht="15.95" customHeight="1" x14ac:dyDescent="0.15">
      <c r="B68" s="2" t="s">
        <v>4</v>
      </c>
      <c r="C68" s="216" t="s">
        <v>100</v>
      </c>
      <c r="D68" s="216"/>
      <c r="E68" s="50">
        <f>PERC_SUBSTITUTO_LICENCA_PATERNIDADE</f>
        <v>0.04</v>
      </c>
      <c r="F68" s="49">
        <f>PERC_SUBSTITUTO_LICENCA_PATERNIDADE%*(MOD_1_REMUNERACAO+MOD_2_ENCARGOS_BENEFICIOS+MOD_3_PROVISAO_RESCISAO)</f>
        <v>1.55</v>
      </c>
    </row>
    <row r="69" spans="2:6" s="81" customFormat="1" x14ac:dyDescent="0.15">
      <c r="B69" s="2" t="s">
        <v>5</v>
      </c>
      <c r="C69" s="214" t="s">
        <v>101</v>
      </c>
      <c r="D69" s="214"/>
      <c r="E69" s="40">
        <f>PERC_SUBSTITUTO_ACID_TRAB</f>
        <v>0.02</v>
      </c>
      <c r="F69" s="31">
        <f>PERC_SUBSTITUTO_ACID_TRAB%*(MOD_1_REMUNERACAO+MOD_2_ENCARGOS_BENEFICIOS+MOD_3_PROVISAO_RESCISAO)</f>
        <v>0.77</v>
      </c>
    </row>
    <row r="70" spans="2:6" s="81" customFormat="1" x14ac:dyDescent="0.15">
      <c r="B70" s="2" t="s">
        <v>6</v>
      </c>
      <c r="C70" s="216" t="s">
        <v>102</v>
      </c>
      <c r="D70" s="216"/>
      <c r="E70" s="50">
        <f>PERC_SUBSTITUTO_AFAST_MATERN</f>
        <v>0.14000000000000001</v>
      </c>
      <c r="F70" s="49">
        <f>PERC_SUBSTITUTO_AFAST_MATERN%*(MOD_1_REMUNERACAO+MOD_2_ENCARGOS_BENEFICIOS+MOD_3_PROVISAO_RESCISAO)</f>
        <v>5.41</v>
      </c>
    </row>
    <row r="71" spans="2:6" s="81" customFormat="1" x14ac:dyDescent="0.15">
      <c r="B71" s="2" t="s">
        <v>7</v>
      </c>
      <c r="C71" s="224" t="str">
        <f>OUTRAS_AUSENCIAS_DESCRICAO</f>
        <v>Outras Ausências (Especificar - em %)</v>
      </c>
      <c r="D71" s="214"/>
      <c r="E71" s="47">
        <f>PERC_SUBSTITUTO_OUTRAS_AUSENCIAS</f>
        <v>0</v>
      </c>
      <c r="F71" s="31">
        <f>PERC_SUBSTITUTO_OUTRAS_AUSENCIAS%*(MOD_1_REMUNERACAO+MOD_2_ENCARGOS_BENEFICIOS+MOD_3_PROVISAO_RESCISAO)</f>
        <v>0</v>
      </c>
    </row>
    <row r="72" spans="2:6" s="81" customFormat="1" x14ac:dyDescent="0.3">
      <c r="B72" s="192" t="s">
        <v>43</v>
      </c>
      <c r="C72" s="193"/>
      <c r="D72" s="193"/>
      <c r="E72" s="194"/>
      <c r="F72" s="36">
        <f>SUM(F66:F71)</f>
        <v>415.29</v>
      </c>
    </row>
    <row r="73" spans="2:6" s="81" customFormat="1" ht="15" customHeight="1" x14ac:dyDescent="0.3">
      <c r="B73" s="45" t="s">
        <v>179</v>
      </c>
      <c r="C73" s="6"/>
      <c r="D73" s="16"/>
      <c r="E73" s="14"/>
      <c r="F73" s="14"/>
    </row>
    <row r="74" spans="2:6" s="81" customFormat="1" x14ac:dyDescent="0.15">
      <c r="B74" s="1" t="s">
        <v>21</v>
      </c>
      <c r="C74" s="201" t="s">
        <v>178</v>
      </c>
      <c r="D74" s="201"/>
      <c r="E74" s="201"/>
      <c r="F74" s="3" t="s">
        <v>13</v>
      </c>
    </row>
    <row r="75" spans="2:6" s="81" customFormat="1" x14ac:dyDescent="0.15">
      <c r="B75" s="1" t="s">
        <v>2</v>
      </c>
      <c r="C75" s="216" t="s">
        <v>103</v>
      </c>
      <c r="D75" s="216"/>
      <c r="E75" s="216"/>
      <c r="F75" s="48">
        <f>IF(DIAS_TRABALHADOS_NO_MES=15,((MOD_1_REMUNERACAO+MOD_2_ENCARGOS_BENEFICIOS+MOD_3_PROVISAO_RESCISAO)/DIVISOR_DE_HORAS)*((TEMPO_INTERVALO_REFEICAO/HORA_NORMAL)+PERC_HORA_EXTRA%)*DIAS_TRABALHADOS_NO_MES,0)</f>
        <v>0</v>
      </c>
    </row>
    <row r="76" spans="2:6" s="81" customFormat="1" x14ac:dyDescent="0.3">
      <c r="B76" s="201" t="s">
        <v>43</v>
      </c>
      <c r="C76" s="201"/>
      <c r="D76" s="201"/>
      <c r="E76" s="201"/>
      <c r="F76" s="36">
        <f>SUM(F75)</f>
        <v>0</v>
      </c>
    </row>
    <row r="77" spans="2:6" ht="7.5" customHeight="1" x14ac:dyDescent="0.3">
      <c r="B77" s="10"/>
      <c r="C77" s="11"/>
      <c r="D77" s="12"/>
      <c r="E77" s="8"/>
      <c r="F77" s="8"/>
    </row>
    <row r="78" spans="2:6" x14ac:dyDescent="0.3">
      <c r="B78" s="45" t="s">
        <v>70</v>
      </c>
      <c r="C78" s="6"/>
      <c r="D78" s="6"/>
      <c r="E78" s="14"/>
      <c r="F78" s="14"/>
    </row>
    <row r="79" spans="2:6" ht="15.75" customHeight="1" x14ac:dyDescent="0.3">
      <c r="B79" s="43">
        <v>5</v>
      </c>
      <c r="C79" s="195" t="s">
        <v>0</v>
      </c>
      <c r="D79" s="195"/>
      <c r="E79" s="195"/>
      <c r="F79" s="44" t="s">
        <v>13</v>
      </c>
    </row>
    <row r="80" spans="2:6" x14ac:dyDescent="0.3">
      <c r="B80" s="39" t="s">
        <v>2</v>
      </c>
      <c r="C80" s="196" t="s">
        <v>16</v>
      </c>
      <c r="D80" s="196"/>
      <c r="E80" s="196"/>
      <c r="F80" s="51">
        <f>UNIFORMES</f>
        <v>218.85</v>
      </c>
    </row>
    <row r="81" spans="2:6" x14ac:dyDescent="0.3">
      <c r="B81" s="39" t="s">
        <v>3</v>
      </c>
      <c r="C81" s="197" t="s">
        <v>18</v>
      </c>
      <c r="D81" s="197"/>
      <c r="E81" s="197"/>
      <c r="F81" s="41">
        <f ca="1">MATERIAIS</f>
        <v>131.62</v>
      </c>
    </row>
    <row r="82" spans="2:6" x14ac:dyDescent="0.3">
      <c r="B82" s="39" t="s">
        <v>4</v>
      </c>
      <c r="C82" s="196" t="s">
        <v>17</v>
      </c>
      <c r="D82" s="196"/>
      <c r="E82" s="196"/>
      <c r="F82" s="51">
        <f>EQUIPAMENTOS</f>
        <v>4.5</v>
      </c>
    </row>
    <row r="83" spans="2:6" x14ac:dyDescent="0.3">
      <c r="B83" s="39" t="s">
        <v>5</v>
      </c>
      <c r="C83" s="225" t="str">
        <f>OUTROS_INSUMOS_DESCRICAO</f>
        <v>Outros (Especificar)</v>
      </c>
      <c r="D83" s="197"/>
      <c r="E83" s="197"/>
      <c r="F83" s="41">
        <f>OUTROS_INSUMOS</f>
        <v>0</v>
      </c>
    </row>
    <row r="84" spans="2:6" x14ac:dyDescent="0.3">
      <c r="B84" s="223" t="s">
        <v>43</v>
      </c>
      <c r="C84" s="223"/>
      <c r="D84" s="223"/>
      <c r="E84" s="223"/>
      <c r="F84" s="38">
        <f ca="1">SUM(F80:F83)</f>
        <v>354.97</v>
      </c>
    </row>
    <row r="85" spans="2:6" ht="7.5" customHeight="1" x14ac:dyDescent="0.3">
      <c r="B85" s="10"/>
      <c r="C85" s="11"/>
      <c r="D85" s="12"/>
      <c r="E85" s="8"/>
      <c r="F85" s="8"/>
    </row>
    <row r="86" spans="2:6" ht="15" customHeight="1" x14ac:dyDescent="0.3">
      <c r="B86" s="189" t="s">
        <v>69</v>
      </c>
      <c r="C86" s="189"/>
      <c r="D86" s="189"/>
      <c r="E86" s="189"/>
      <c r="F86" s="189"/>
    </row>
    <row r="87" spans="2:6" x14ac:dyDescent="0.3">
      <c r="B87" s="1">
        <v>6</v>
      </c>
      <c r="C87" s="201" t="s">
        <v>22</v>
      </c>
      <c r="D87" s="201"/>
      <c r="E87" s="3" t="s">
        <v>1</v>
      </c>
      <c r="F87" s="3" t="s">
        <v>13</v>
      </c>
    </row>
    <row r="88" spans="2:6" x14ac:dyDescent="0.3">
      <c r="B88" s="1" t="s">
        <v>2</v>
      </c>
      <c r="C88" s="216" t="s">
        <v>71</v>
      </c>
      <c r="D88" s="216"/>
      <c r="E88" s="52">
        <f>PERC_CUSTOS_INDIRETOS</f>
        <v>4.7300000000000004</v>
      </c>
      <c r="F88" s="49">
        <f ca="1">PERC_CUSTOS_INDIRETOS%*(MOD_1_REMUNERACAO+MOD_2_ENCARGOS_BENEFICIOS+MOD_3_PROVISAO_RESCISAO+MOD_4_CUSTO_REPOSICAO+MOD_5_INSUMOS)</f>
        <v>219.16</v>
      </c>
    </row>
    <row r="89" spans="2:6" ht="15.75" customHeight="1" x14ac:dyDescent="0.3">
      <c r="B89" s="2" t="s">
        <v>3</v>
      </c>
      <c r="C89" s="214" t="s">
        <v>29</v>
      </c>
      <c r="D89" s="214"/>
      <c r="E89" s="42">
        <f>PERC_LUCRO</f>
        <v>5.57</v>
      </c>
      <c r="F89" s="31">
        <f ca="1">PERC_LUCRO%*(MOD_1_REMUNERACAO+MOD_2_ENCARGOS_BENEFICIOS+MOD_3_PROVISAO_RESCISAO+MOD_4_CUSTO_REPOSICAO+MOD_5_INSUMOS+AL_6_A_CUSTOS_INDIRETOS)</f>
        <v>270.29000000000002</v>
      </c>
    </row>
    <row r="90" spans="2:6" x14ac:dyDescent="0.3">
      <c r="B90" s="2" t="s">
        <v>4</v>
      </c>
      <c r="C90" s="216" t="s">
        <v>23</v>
      </c>
      <c r="D90" s="216"/>
      <c r="E90" s="52">
        <f>SUM(E91:E93)</f>
        <v>8.65</v>
      </c>
      <c r="F90" s="49">
        <f ca="1">SUM(F91:F93)</f>
        <v>485.09</v>
      </c>
    </row>
    <row r="91" spans="2:6" ht="15.75" customHeight="1" x14ac:dyDescent="0.3">
      <c r="B91" s="25" t="s">
        <v>72</v>
      </c>
      <c r="C91" s="221" t="s">
        <v>24</v>
      </c>
      <c r="D91" s="221"/>
      <c r="E91" s="26">
        <f>PERC_PIS</f>
        <v>0.65</v>
      </c>
      <c r="F91" s="54">
        <f ca="1">((MOD_1_REMUNERACAO+MOD_2_ENCARGOS_BENEFICIOS+MOD_3_PROVISAO_RESCISAO+MOD_4_CUSTO_REPOSICAO+MOD_5_INSUMOS+AL_6_A_CUSTOS_INDIRETOS+AL_6_B_LUCRO)*PERC_PIS%)/(1-PERC_TRIBUTOS%)</f>
        <v>36.450000000000003</v>
      </c>
    </row>
    <row r="92" spans="2:6" x14ac:dyDescent="0.3">
      <c r="B92" s="25" t="s">
        <v>73</v>
      </c>
      <c r="C92" s="222" t="s">
        <v>25</v>
      </c>
      <c r="D92" s="222"/>
      <c r="E92" s="53">
        <f>PERC_COFINS</f>
        <v>3</v>
      </c>
      <c r="F92" s="55">
        <f ca="1">((MOD_1_REMUNERACAO+MOD_2_ENCARGOS_BENEFICIOS+MOD_3_PROVISAO_RESCISAO+MOD_4_CUSTO_REPOSICAO+MOD_5_INSUMOS+AL_6_A_CUSTOS_INDIRETOS+AL_6_B_LUCRO)*PERC_COFINS%)/(1-PERC_TRIBUTOS%)</f>
        <v>168.24</v>
      </c>
    </row>
    <row r="93" spans="2:6" s="92" customFormat="1" x14ac:dyDescent="0.3">
      <c r="B93" s="25" t="s">
        <v>74</v>
      </c>
      <c r="C93" s="221" t="s">
        <v>26</v>
      </c>
      <c r="D93" s="221"/>
      <c r="E93" s="26">
        <f>PERC_ISS</f>
        <v>5</v>
      </c>
      <c r="F93" s="54">
        <f ca="1">((MOD_1_REMUNERACAO+MOD_2_ENCARGOS_BENEFICIOS+MOD_3_PROVISAO_RESCISAO+MOD_4_CUSTO_REPOSICAO+MOD_5_INSUMOS+AL_6_A_CUSTOS_INDIRETOS+AL_6_B_LUCRO)*PERC_ISS%)/(1-PERC_TRIBUTOS%)</f>
        <v>280.39999999999998</v>
      </c>
    </row>
    <row r="94" spans="2:6" s="92" customFormat="1" x14ac:dyDescent="0.3">
      <c r="B94" s="192" t="s">
        <v>43</v>
      </c>
      <c r="C94" s="193"/>
      <c r="D94" s="193"/>
      <c r="E94" s="194"/>
      <c r="F94" s="32">
        <f ca="1">AL_6_A_CUSTOS_INDIRETOS+AL_6_B_LUCRO+AL_6_C_TRIBUTOS</f>
        <v>974.54</v>
      </c>
    </row>
    <row r="95" spans="2:6" s="92" customFormat="1" ht="20.25" x14ac:dyDescent="0.3">
      <c r="B95" s="46" t="s">
        <v>50</v>
      </c>
      <c r="C95" s="9"/>
      <c r="D95" s="9"/>
      <c r="E95" s="9"/>
      <c r="F95" s="17"/>
    </row>
    <row r="96" spans="2:6" s="93" customFormat="1" ht="16.5" customHeight="1" x14ac:dyDescent="0.3">
      <c r="B96" s="2" t="s">
        <v>92</v>
      </c>
      <c r="C96" s="203" t="s">
        <v>93</v>
      </c>
      <c r="D96" s="204"/>
      <c r="E96" s="205"/>
      <c r="F96" s="3" t="s">
        <v>19</v>
      </c>
    </row>
    <row r="97" spans="2:6" s="92" customFormat="1" x14ac:dyDescent="0.3">
      <c r="B97" s="1">
        <v>1</v>
      </c>
      <c r="C97" s="216" t="s">
        <v>9</v>
      </c>
      <c r="D97" s="216"/>
      <c r="E97" s="216"/>
      <c r="F97" s="49">
        <f>MOD_1_REMUNERACAO</f>
        <v>1826.64</v>
      </c>
    </row>
    <row r="98" spans="2:6" s="94" customFormat="1" ht="16.5" customHeight="1" x14ac:dyDescent="0.3">
      <c r="B98" s="2">
        <v>2</v>
      </c>
      <c r="C98" s="214" t="s">
        <v>94</v>
      </c>
      <c r="D98" s="214"/>
      <c r="E98" s="214"/>
      <c r="F98" s="31">
        <f>MOD_2_ENCARGOS_BENEFICIOS</f>
        <v>1982.15</v>
      </c>
    </row>
    <row r="99" spans="2:6" s="94" customFormat="1" x14ac:dyDescent="0.3">
      <c r="B99" s="2">
        <v>3</v>
      </c>
      <c r="C99" s="216" t="s">
        <v>45</v>
      </c>
      <c r="D99" s="216"/>
      <c r="E99" s="216"/>
      <c r="F99" s="49">
        <f>MOD_3_PROVISAO_RESCISAO</f>
        <v>54.34</v>
      </c>
    </row>
    <row r="100" spans="2:6" s="94" customFormat="1" x14ac:dyDescent="0.3">
      <c r="B100" s="2">
        <v>4</v>
      </c>
      <c r="C100" s="214" t="s">
        <v>48</v>
      </c>
      <c r="D100" s="214"/>
      <c r="E100" s="214"/>
      <c r="F100" s="31">
        <f>MOD_4_CUSTO_REPOSICAO</f>
        <v>415.29</v>
      </c>
    </row>
    <row r="101" spans="2:6" s="94" customFormat="1" x14ac:dyDescent="0.3">
      <c r="B101" s="2">
        <v>5</v>
      </c>
      <c r="C101" s="216" t="s">
        <v>0</v>
      </c>
      <c r="D101" s="216"/>
      <c r="E101" s="216"/>
      <c r="F101" s="49">
        <f ca="1">MOD_5_INSUMOS</f>
        <v>354.97</v>
      </c>
    </row>
    <row r="102" spans="2:6" s="94" customFormat="1" x14ac:dyDescent="0.3">
      <c r="B102" s="2">
        <v>6</v>
      </c>
      <c r="C102" s="214" t="s">
        <v>22</v>
      </c>
      <c r="D102" s="214"/>
      <c r="E102" s="214"/>
      <c r="F102" s="31">
        <f ca="1">MOD_6_CUSTOS_IND_LUCRO_TRIB</f>
        <v>974.54</v>
      </c>
    </row>
    <row r="103" spans="2:6" ht="16.5" customHeight="1" x14ac:dyDescent="0.3">
      <c r="B103" s="219" t="s">
        <v>95</v>
      </c>
      <c r="C103" s="219"/>
      <c r="D103" s="219"/>
      <c r="E103" s="219"/>
      <c r="F103" s="32">
        <f ca="1">SUM(F97:F102)</f>
        <v>5607.93</v>
      </c>
    </row>
    <row r="104" spans="2:6" ht="16.5" customHeight="1" x14ac:dyDescent="0.3">
      <c r="B104" s="219" t="s">
        <v>28</v>
      </c>
      <c r="C104" s="219"/>
      <c r="D104" s="219"/>
      <c r="E104" s="219"/>
      <c r="F104" s="32">
        <f ca="1">VALOR_TOTAL_EMPREGADO*EMPREG_POR_POSTO</f>
        <v>5607.93</v>
      </c>
    </row>
    <row r="105" spans="2:6" x14ac:dyDescent="0.3">
      <c r="B105" s="219" t="s">
        <v>156</v>
      </c>
      <c r="C105" s="219"/>
      <c r="D105" s="219"/>
      <c r="E105" s="219"/>
      <c r="F105" s="32">
        <f ca="1">VALOR_TOTAL_EMPREGADO*EMPREG_POR_POSTO*QTDE_POSTOS</f>
        <v>39255.51</v>
      </c>
    </row>
  </sheetData>
  <sheetProtection sheet="1" objects="1" scenarios="1"/>
  <mergeCells count="94">
    <mergeCell ref="B1:F1"/>
    <mergeCell ref="B2:D2"/>
    <mergeCell ref="B3:F3"/>
    <mergeCell ref="B4:F4"/>
    <mergeCell ref="B5:C5"/>
    <mergeCell ref="D5:F5"/>
    <mergeCell ref="B6:C6"/>
    <mergeCell ref="D6:E6"/>
    <mergeCell ref="B7:F7"/>
    <mergeCell ref="C8:E8"/>
    <mergeCell ref="D9:F9"/>
    <mergeCell ref="C10:E10"/>
    <mergeCell ref="C11:E11"/>
    <mergeCell ref="C12:E12"/>
    <mergeCell ref="C14:D14"/>
    <mergeCell ref="E14:F14"/>
    <mergeCell ref="D15:F15"/>
    <mergeCell ref="C29:E29"/>
    <mergeCell ref="C26:E26"/>
    <mergeCell ref="D16:F16"/>
    <mergeCell ref="C17:E17"/>
    <mergeCell ref="B18:F18"/>
    <mergeCell ref="B19:E19"/>
    <mergeCell ref="C21:E21"/>
    <mergeCell ref="C22:E22"/>
    <mergeCell ref="C23:E23"/>
    <mergeCell ref="C24:E24"/>
    <mergeCell ref="C25:E25"/>
    <mergeCell ref="C27:E27"/>
    <mergeCell ref="C28:E28"/>
    <mergeCell ref="C43:D43"/>
    <mergeCell ref="B30:E30"/>
    <mergeCell ref="C33:D33"/>
    <mergeCell ref="C34:D34"/>
    <mergeCell ref="C35:D35"/>
    <mergeCell ref="B36:E36"/>
    <mergeCell ref="B37:F37"/>
    <mergeCell ref="C38:D38"/>
    <mergeCell ref="C39:D39"/>
    <mergeCell ref="C40:D40"/>
    <mergeCell ref="C41:D41"/>
    <mergeCell ref="C42:D42"/>
    <mergeCell ref="C57:D57"/>
    <mergeCell ref="C44:D44"/>
    <mergeCell ref="C45:D45"/>
    <mergeCell ref="C46:D46"/>
    <mergeCell ref="B47:E47"/>
    <mergeCell ref="C49:E49"/>
    <mergeCell ref="C50:E50"/>
    <mergeCell ref="C51:E51"/>
    <mergeCell ref="C52:E52"/>
    <mergeCell ref="C53:E53"/>
    <mergeCell ref="C54:E54"/>
    <mergeCell ref="B55:E55"/>
    <mergeCell ref="C69:D69"/>
    <mergeCell ref="C58:D58"/>
    <mergeCell ref="C60:D60"/>
    <mergeCell ref="C59:D59"/>
    <mergeCell ref="B61:E61"/>
    <mergeCell ref="C65:D65"/>
    <mergeCell ref="C66:D66"/>
    <mergeCell ref="C67:D67"/>
    <mergeCell ref="C68:D68"/>
    <mergeCell ref="B84:E84"/>
    <mergeCell ref="C70:D70"/>
    <mergeCell ref="C71:D71"/>
    <mergeCell ref="B72:E72"/>
    <mergeCell ref="C74:E74"/>
    <mergeCell ref="C75:E75"/>
    <mergeCell ref="B76:E76"/>
    <mergeCell ref="C79:E79"/>
    <mergeCell ref="C80:E80"/>
    <mergeCell ref="C81:E81"/>
    <mergeCell ref="C82:E82"/>
    <mergeCell ref="C83:E83"/>
    <mergeCell ref="C98:E98"/>
    <mergeCell ref="B86:F86"/>
    <mergeCell ref="C87:D87"/>
    <mergeCell ref="C88:D88"/>
    <mergeCell ref="C89:D89"/>
    <mergeCell ref="C90:D90"/>
    <mergeCell ref="C91:D91"/>
    <mergeCell ref="C92:D92"/>
    <mergeCell ref="C93:D93"/>
    <mergeCell ref="B94:E94"/>
    <mergeCell ref="C96:E96"/>
    <mergeCell ref="C97:E97"/>
    <mergeCell ref="B105:E105"/>
    <mergeCell ref="C99:E99"/>
    <mergeCell ref="C100:E100"/>
    <mergeCell ref="C101:E101"/>
    <mergeCell ref="C102:E102"/>
    <mergeCell ref="B103:E103"/>
    <mergeCell ref="B104:E104"/>
  </mergeCells>
  <printOptions horizontalCentered="1"/>
  <pageMargins left="0.08" right="0.05" top="0.19685039370078741" bottom="0.15748031496062992" header="0.19685039370078741" footer="0.15748031496062992"/>
  <pageSetup paperSize="9" orientation="portrait" r:id="rId1"/>
  <ignoredErrors>
    <ignoredError sqref="B1:F1 B13:F13 B4:F4 C3:F3 B2:F2 B10:F11 B9:D9 E9:F9 B12:E12 C17:F17 B14:D14 F14 B15:C15 E15:F15 C16 E16:F16 B7:F8 C6:F6 C5:F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7"/>
  <sheetViews>
    <sheetView showGridLines="0" zoomScaleNormal="100" workbookViewId="0">
      <pane ySplit="2" topLeftCell="A15" activePane="bottomLeft" state="frozen"/>
      <selection pane="bottomLeft"/>
    </sheetView>
  </sheetViews>
  <sheetFormatPr defaultRowHeight="12.75" x14ac:dyDescent="0.2"/>
  <cols>
    <col min="1" max="1" width="8.85546875" style="112" customWidth="1"/>
    <col min="2" max="2" width="4.7109375" style="112" bestFit="1" customWidth="1"/>
    <col min="3" max="3" width="11.85546875" style="112" customWidth="1"/>
    <col min="4" max="4" width="34.140625" style="112" customWidth="1"/>
    <col min="5" max="5" width="10.140625" style="112" customWidth="1"/>
    <col min="6" max="11" width="11.28515625" style="112" customWidth="1"/>
    <col min="12" max="16384" width="9.140625" style="112"/>
  </cols>
  <sheetData>
    <row r="1" spans="1:11" ht="27.75" customHeight="1" x14ac:dyDescent="0.2">
      <c r="A1" s="111"/>
      <c r="B1" s="111"/>
      <c r="C1" s="111"/>
      <c r="D1" s="111"/>
      <c r="E1" s="111"/>
      <c r="F1" s="249" t="s">
        <v>207</v>
      </c>
      <c r="G1" s="249"/>
      <c r="H1" s="249"/>
      <c r="I1" s="249"/>
    </row>
    <row r="2" spans="1:11" ht="38.25" x14ac:dyDescent="0.2">
      <c r="A2" s="117"/>
      <c r="B2" s="119" t="s">
        <v>225</v>
      </c>
      <c r="C2" s="119" t="s">
        <v>140</v>
      </c>
      <c r="D2" s="119" t="s">
        <v>208</v>
      </c>
      <c r="E2" s="119" t="s">
        <v>226</v>
      </c>
      <c r="F2" s="119" t="s">
        <v>185</v>
      </c>
      <c r="G2" s="119" t="s">
        <v>186</v>
      </c>
      <c r="H2" s="119" t="s">
        <v>187</v>
      </c>
      <c r="I2" s="119" t="s">
        <v>227</v>
      </c>
      <c r="J2" s="119" t="s">
        <v>228</v>
      </c>
      <c r="K2" s="119" t="s">
        <v>229</v>
      </c>
    </row>
    <row r="3" spans="1:11" x14ac:dyDescent="0.2">
      <c r="A3" s="250" t="s">
        <v>222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</row>
    <row r="4" spans="1:11" ht="38.25" x14ac:dyDescent="0.2">
      <c r="A4" s="120"/>
      <c r="B4" s="113">
        <v>1</v>
      </c>
      <c r="C4" s="113" t="s">
        <v>209</v>
      </c>
      <c r="D4" s="113" t="s">
        <v>188</v>
      </c>
      <c r="E4" s="113">
        <v>4</v>
      </c>
      <c r="F4" s="115">
        <v>59.99</v>
      </c>
      <c r="G4" s="115">
        <v>71</v>
      </c>
      <c r="H4" s="115">
        <v>79.989999999999995</v>
      </c>
      <c r="I4" s="116">
        <f>MIN(F4:H4)</f>
        <v>59.99</v>
      </c>
      <c r="J4" s="116">
        <f>I4*E4</f>
        <v>239.96</v>
      </c>
      <c r="K4" s="122">
        <f>J4/6</f>
        <v>39.99</v>
      </c>
    </row>
    <row r="5" spans="1:11" ht="51" x14ac:dyDescent="0.2">
      <c r="A5" s="120"/>
      <c r="B5" s="113">
        <v>2</v>
      </c>
      <c r="C5" s="113" t="s">
        <v>212</v>
      </c>
      <c r="D5" s="113" t="s">
        <v>189</v>
      </c>
      <c r="E5" s="113">
        <v>5</v>
      </c>
      <c r="F5" s="115">
        <v>34</v>
      </c>
      <c r="G5" s="115">
        <v>30.7</v>
      </c>
      <c r="H5" s="115">
        <v>47.15</v>
      </c>
      <c r="I5" s="116">
        <f>MIN(F5:H5)</f>
        <v>30.7</v>
      </c>
      <c r="J5" s="116">
        <f t="shared" ref="J5:J26" si="0">I5*E5</f>
        <v>153.5</v>
      </c>
      <c r="K5" s="116">
        <f t="shared" ref="K5:K26" si="1">J5/6</f>
        <v>25.58</v>
      </c>
    </row>
    <row r="6" spans="1:11" ht="38.25" x14ac:dyDescent="0.2">
      <c r="A6" s="120"/>
      <c r="B6" s="113">
        <v>3</v>
      </c>
      <c r="C6" s="113" t="s">
        <v>213</v>
      </c>
      <c r="D6" s="113" t="s">
        <v>202</v>
      </c>
      <c r="E6" s="113">
        <v>2</v>
      </c>
      <c r="F6" s="115">
        <v>35</v>
      </c>
      <c r="G6" s="115">
        <v>49.99</v>
      </c>
      <c r="H6" s="115">
        <v>174.9</v>
      </c>
      <c r="I6" s="116">
        <f t="shared" ref="I6:I26" si="2">MIN(F6:H6)</f>
        <v>35</v>
      </c>
      <c r="J6" s="116">
        <f t="shared" si="0"/>
        <v>70</v>
      </c>
      <c r="K6" s="116">
        <f t="shared" si="1"/>
        <v>11.67</v>
      </c>
    </row>
    <row r="7" spans="1:11" ht="25.5" x14ac:dyDescent="0.2">
      <c r="A7" s="120"/>
      <c r="B7" s="113">
        <v>4</v>
      </c>
      <c r="C7" s="113" t="s">
        <v>210</v>
      </c>
      <c r="D7" s="113" t="s">
        <v>190</v>
      </c>
      <c r="E7" s="113">
        <v>4</v>
      </c>
      <c r="F7" s="115">
        <v>17.2</v>
      </c>
      <c r="G7" s="115">
        <v>5.7</v>
      </c>
      <c r="H7" s="115">
        <v>5</v>
      </c>
      <c r="I7" s="116">
        <f t="shared" si="2"/>
        <v>5</v>
      </c>
      <c r="J7" s="116">
        <f t="shared" si="0"/>
        <v>20</v>
      </c>
      <c r="K7" s="116">
        <f t="shared" si="1"/>
        <v>3.33</v>
      </c>
    </row>
    <row r="8" spans="1:11" ht="38.25" x14ac:dyDescent="0.2">
      <c r="A8" s="120"/>
      <c r="B8" s="113">
        <v>5</v>
      </c>
      <c r="C8" s="113" t="s">
        <v>211</v>
      </c>
      <c r="D8" s="113" t="s">
        <v>191</v>
      </c>
      <c r="E8" s="113">
        <v>3</v>
      </c>
      <c r="F8" s="115">
        <v>25.9</v>
      </c>
      <c r="G8" s="115">
        <v>31.36</v>
      </c>
      <c r="H8" s="115">
        <v>17.899999999999999</v>
      </c>
      <c r="I8" s="116">
        <f t="shared" si="2"/>
        <v>17.899999999999999</v>
      </c>
      <c r="J8" s="116">
        <f t="shared" si="0"/>
        <v>53.7</v>
      </c>
      <c r="K8" s="116">
        <f t="shared" si="1"/>
        <v>8.9499999999999993</v>
      </c>
    </row>
    <row r="9" spans="1:11" ht="25.5" x14ac:dyDescent="0.2">
      <c r="A9" s="120"/>
      <c r="B9" s="113">
        <v>6</v>
      </c>
      <c r="C9" s="113" t="s">
        <v>214</v>
      </c>
      <c r="D9" s="113" t="s">
        <v>203</v>
      </c>
      <c r="E9" s="113">
        <v>3</v>
      </c>
      <c r="F9" s="115">
        <v>59.99</v>
      </c>
      <c r="G9" s="115">
        <v>44.99</v>
      </c>
      <c r="H9" s="115">
        <v>49.9</v>
      </c>
      <c r="I9" s="116">
        <f t="shared" si="2"/>
        <v>44.99</v>
      </c>
      <c r="J9" s="116">
        <f t="shared" si="0"/>
        <v>134.97</v>
      </c>
      <c r="K9" s="116">
        <f t="shared" si="1"/>
        <v>22.5</v>
      </c>
    </row>
    <row r="10" spans="1:11" ht="25.5" x14ac:dyDescent="0.2">
      <c r="A10" s="120"/>
      <c r="B10" s="113">
        <v>7</v>
      </c>
      <c r="C10" s="113" t="s">
        <v>215</v>
      </c>
      <c r="D10" s="113" t="s">
        <v>204</v>
      </c>
      <c r="E10" s="113">
        <v>1</v>
      </c>
      <c r="F10" s="115">
        <v>37.9</v>
      </c>
      <c r="G10" s="115">
        <v>37.9</v>
      </c>
      <c r="H10" s="115">
        <v>23.4</v>
      </c>
      <c r="I10" s="116">
        <f t="shared" si="2"/>
        <v>23.4</v>
      </c>
      <c r="J10" s="116">
        <f t="shared" si="0"/>
        <v>23.4</v>
      </c>
      <c r="K10" s="116">
        <f t="shared" si="1"/>
        <v>3.9</v>
      </c>
    </row>
    <row r="11" spans="1:11" x14ac:dyDescent="0.2">
      <c r="A11" s="120"/>
      <c r="B11" s="246" t="s">
        <v>296</v>
      </c>
      <c r="C11" s="247"/>
      <c r="D11" s="247"/>
      <c r="E11" s="247"/>
      <c r="F11" s="247"/>
      <c r="G11" s="247"/>
      <c r="H11" s="247"/>
      <c r="I11" s="247"/>
      <c r="J11" s="248"/>
      <c r="K11" s="123">
        <f>SUM(K4:K10)</f>
        <v>115.92</v>
      </c>
    </row>
    <row r="12" spans="1:11" x14ac:dyDescent="0.2">
      <c r="A12" s="251" t="s">
        <v>223</v>
      </c>
      <c r="B12" s="251"/>
      <c r="C12" s="251"/>
      <c r="D12" s="251"/>
      <c r="E12" s="251"/>
      <c r="F12" s="251"/>
      <c r="G12" s="251"/>
      <c r="H12" s="251"/>
      <c r="I12" s="251"/>
      <c r="J12" s="251"/>
      <c r="K12" s="251"/>
    </row>
    <row r="13" spans="1:11" ht="51" x14ac:dyDescent="0.2">
      <c r="A13" s="120"/>
      <c r="B13" s="113">
        <v>1</v>
      </c>
      <c r="C13" s="113" t="s">
        <v>216</v>
      </c>
      <c r="D13" s="114" t="s">
        <v>205</v>
      </c>
      <c r="E13" s="114">
        <v>3</v>
      </c>
      <c r="F13" s="121">
        <v>189.98</v>
      </c>
      <c r="G13" s="121">
        <v>198.3</v>
      </c>
      <c r="H13" s="121">
        <v>249.9</v>
      </c>
      <c r="I13" s="122">
        <f t="shared" si="2"/>
        <v>189.98</v>
      </c>
      <c r="J13" s="122">
        <f t="shared" si="0"/>
        <v>569.94000000000005</v>
      </c>
      <c r="K13" s="122">
        <f t="shared" si="1"/>
        <v>94.99</v>
      </c>
    </row>
    <row r="14" spans="1:11" ht="51" x14ac:dyDescent="0.2">
      <c r="A14" s="120"/>
      <c r="B14" s="113">
        <v>2</v>
      </c>
      <c r="C14" s="113" t="s">
        <v>217</v>
      </c>
      <c r="D14" s="113" t="s">
        <v>192</v>
      </c>
      <c r="E14" s="113">
        <v>5</v>
      </c>
      <c r="F14" s="115">
        <v>56.9</v>
      </c>
      <c r="G14" s="115">
        <v>36.5</v>
      </c>
      <c r="H14" s="115">
        <v>57.9</v>
      </c>
      <c r="I14" s="116">
        <f t="shared" si="2"/>
        <v>36.5</v>
      </c>
      <c r="J14" s="116">
        <f t="shared" si="0"/>
        <v>182.5</v>
      </c>
      <c r="K14" s="116">
        <f t="shared" si="1"/>
        <v>30.42</v>
      </c>
    </row>
    <row r="15" spans="1:11" ht="25.5" x14ac:dyDescent="0.2">
      <c r="A15" s="120"/>
      <c r="B15" s="113">
        <v>3</v>
      </c>
      <c r="C15" s="113" t="s">
        <v>218</v>
      </c>
      <c r="D15" s="113" t="s">
        <v>206</v>
      </c>
      <c r="E15" s="113">
        <v>3</v>
      </c>
      <c r="F15" s="115">
        <v>129.99</v>
      </c>
      <c r="G15" s="115">
        <v>69.900000000000006</v>
      </c>
      <c r="H15" s="115">
        <v>69.989999999999995</v>
      </c>
      <c r="I15" s="116">
        <f t="shared" si="2"/>
        <v>69.900000000000006</v>
      </c>
      <c r="J15" s="116">
        <f t="shared" si="0"/>
        <v>209.7</v>
      </c>
      <c r="K15" s="116">
        <f t="shared" si="1"/>
        <v>34.950000000000003</v>
      </c>
    </row>
    <row r="16" spans="1:11" ht="25.5" x14ac:dyDescent="0.2">
      <c r="A16" s="120"/>
      <c r="B16" s="113">
        <v>4</v>
      </c>
      <c r="C16" s="113" t="s">
        <v>215</v>
      </c>
      <c r="D16" s="113" t="s">
        <v>204</v>
      </c>
      <c r="E16" s="113">
        <v>1</v>
      </c>
      <c r="F16" s="115">
        <v>37.9</v>
      </c>
      <c r="G16" s="115">
        <v>37.9</v>
      </c>
      <c r="H16" s="115">
        <v>23.4</v>
      </c>
      <c r="I16" s="116">
        <f t="shared" si="2"/>
        <v>23.4</v>
      </c>
      <c r="J16" s="116">
        <f t="shared" si="0"/>
        <v>23.4</v>
      </c>
      <c r="K16" s="116">
        <f t="shared" si="1"/>
        <v>3.9</v>
      </c>
    </row>
    <row r="17" spans="1:11" x14ac:dyDescent="0.2">
      <c r="A17" s="120"/>
      <c r="B17" s="113">
        <v>5</v>
      </c>
      <c r="C17" s="113" t="s">
        <v>219</v>
      </c>
      <c r="D17" s="113" t="s">
        <v>193</v>
      </c>
      <c r="E17" s="113">
        <v>2</v>
      </c>
      <c r="F17" s="115">
        <v>39.99</v>
      </c>
      <c r="G17" s="115">
        <v>39.9</v>
      </c>
      <c r="H17" s="115">
        <v>39.9</v>
      </c>
      <c r="I17" s="116">
        <f t="shared" si="2"/>
        <v>39.9</v>
      </c>
      <c r="J17" s="116">
        <f t="shared" si="0"/>
        <v>79.8</v>
      </c>
      <c r="K17" s="116">
        <f t="shared" si="1"/>
        <v>13.3</v>
      </c>
    </row>
    <row r="18" spans="1:11" ht="12.75" customHeight="1" x14ac:dyDescent="0.2">
      <c r="A18" s="120"/>
      <c r="B18" s="246" t="s">
        <v>296</v>
      </c>
      <c r="C18" s="247"/>
      <c r="D18" s="247"/>
      <c r="E18" s="247"/>
      <c r="F18" s="247"/>
      <c r="G18" s="247"/>
      <c r="H18" s="247"/>
      <c r="I18" s="247"/>
      <c r="J18" s="248"/>
      <c r="K18" s="123">
        <f>SUM(K13:K17)</f>
        <v>177.56</v>
      </c>
    </row>
    <row r="19" spans="1:11" x14ac:dyDescent="0.2">
      <c r="A19" s="251" t="s">
        <v>224</v>
      </c>
      <c r="B19" s="251"/>
      <c r="C19" s="251"/>
      <c r="D19" s="251"/>
      <c r="E19" s="251"/>
      <c r="F19" s="251"/>
      <c r="G19" s="251"/>
      <c r="H19" s="251"/>
      <c r="I19" s="251"/>
      <c r="J19" s="251"/>
      <c r="K19" s="251"/>
    </row>
    <row r="20" spans="1:11" ht="51" x14ac:dyDescent="0.2">
      <c r="A20" s="120"/>
      <c r="B20" s="113">
        <v>1</v>
      </c>
      <c r="C20" s="113" t="s">
        <v>216</v>
      </c>
      <c r="D20" s="114" t="s">
        <v>205</v>
      </c>
      <c r="E20" s="114">
        <v>4</v>
      </c>
      <c r="F20" s="121">
        <v>189.98</v>
      </c>
      <c r="G20" s="121">
        <v>198.3</v>
      </c>
      <c r="H20" s="121">
        <v>249.9</v>
      </c>
      <c r="I20" s="122">
        <f t="shared" si="2"/>
        <v>189.98</v>
      </c>
      <c r="J20" s="122">
        <f t="shared" si="0"/>
        <v>759.92</v>
      </c>
      <c r="K20" s="122">
        <f t="shared" si="1"/>
        <v>126.65</v>
      </c>
    </row>
    <row r="21" spans="1:11" ht="25.5" x14ac:dyDescent="0.2">
      <c r="A21" s="120"/>
      <c r="B21" s="113">
        <v>2</v>
      </c>
      <c r="C21" s="113" t="s">
        <v>217</v>
      </c>
      <c r="D21" s="113" t="s">
        <v>194</v>
      </c>
      <c r="E21" s="113">
        <v>5</v>
      </c>
      <c r="F21" s="115">
        <v>89.9</v>
      </c>
      <c r="G21" s="115">
        <v>39.9</v>
      </c>
      <c r="H21" s="115">
        <v>41.5</v>
      </c>
      <c r="I21" s="116">
        <f t="shared" si="2"/>
        <v>39.9</v>
      </c>
      <c r="J21" s="116">
        <f t="shared" si="0"/>
        <v>199.5</v>
      </c>
      <c r="K21" s="116">
        <f t="shared" si="1"/>
        <v>33.25</v>
      </c>
    </row>
    <row r="22" spans="1:11" ht="25.5" x14ac:dyDescent="0.2">
      <c r="A22" s="120"/>
      <c r="B22" s="113">
        <v>3</v>
      </c>
      <c r="C22" s="113" t="s">
        <v>220</v>
      </c>
      <c r="D22" s="113" t="s">
        <v>195</v>
      </c>
      <c r="E22" s="113">
        <v>3</v>
      </c>
      <c r="F22" s="115">
        <v>10</v>
      </c>
      <c r="G22" s="115">
        <v>17.489999999999998</v>
      </c>
      <c r="H22" s="115">
        <v>9.99</v>
      </c>
      <c r="I22" s="116">
        <f t="shared" si="2"/>
        <v>9.99</v>
      </c>
      <c r="J22" s="116">
        <f t="shared" si="0"/>
        <v>29.97</v>
      </c>
      <c r="K22" s="116">
        <f t="shared" si="1"/>
        <v>5</v>
      </c>
    </row>
    <row r="23" spans="1:11" ht="25.5" x14ac:dyDescent="0.2">
      <c r="A23" s="120"/>
      <c r="B23" s="113">
        <v>4</v>
      </c>
      <c r="C23" s="113" t="s">
        <v>218</v>
      </c>
      <c r="D23" s="113" t="s">
        <v>206</v>
      </c>
      <c r="E23" s="113">
        <v>3</v>
      </c>
      <c r="F23" s="115">
        <v>129.99</v>
      </c>
      <c r="G23" s="115">
        <v>69.900000000000006</v>
      </c>
      <c r="H23" s="115">
        <v>69.989999999999995</v>
      </c>
      <c r="I23" s="116">
        <f t="shared" si="2"/>
        <v>69.900000000000006</v>
      </c>
      <c r="J23" s="116">
        <f t="shared" si="0"/>
        <v>209.7</v>
      </c>
      <c r="K23" s="116">
        <f t="shared" si="1"/>
        <v>34.950000000000003</v>
      </c>
    </row>
    <row r="24" spans="1:11" x14ac:dyDescent="0.2">
      <c r="A24" s="120"/>
      <c r="B24" s="113">
        <v>5</v>
      </c>
      <c r="C24" s="113" t="s">
        <v>219</v>
      </c>
      <c r="D24" s="113" t="s">
        <v>193</v>
      </c>
      <c r="E24" s="113">
        <v>2</v>
      </c>
      <c r="F24" s="115">
        <v>39.99</v>
      </c>
      <c r="G24" s="115">
        <v>39.9</v>
      </c>
      <c r="H24" s="115">
        <v>39.9</v>
      </c>
      <c r="I24" s="116">
        <f t="shared" si="2"/>
        <v>39.9</v>
      </c>
      <c r="J24" s="116">
        <f t="shared" si="0"/>
        <v>79.8</v>
      </c>
      <c r="K24" s="116">
        <f t="shared" si="1"/>
        <v>13.3</v>
      </c>
    </row>
    <row r="25" spans="1:11" ht="25.5" x14ac:dyDescent="0.2">
      <c r="A25" s="120"/>
      <c r="B25" s="113">
        <v>6</v>
      </c>
      <c r="C25" s="113" t="s">
        <v>215</v>
      </c>
      <c r="D25" s="113" t="s">
        <v>204</v>
      </c>
      <c r="E25" s="113">
        <v>1</v>
      </c>
      <c r="F25" s="115">
        <v>37.9</v>
      </c>
      <c r="G25" s="115">
        <v>37.9</v>
      </c>
      <c r="H25" s="115">
        <v>23.4</v>
      </c>
      <c r="I25" s="116">
        <f t="shared" si="2"/>
        <v>23.4</v>
      </c>
      <c r="J25" s="116">
        <f t="shared" si="0"/>
        <v>23.4</v>
      </c>
      <c r="K25" s="116">
        <f t="shared" si="1"/>
        <v>3.9</v>
      </c>
    </row>
    <row r="26" spans="1:11" ht="25.5" x14ac:dyDescent="0.2">
      <c r="A26" s="120"/>
      <c r="B26" s="113">
        <v>7</v>
      </c>
      <c r="C26" s="113" t="s">
        <v>221</v>
      </c>
      <c r="D26" s="113" t="s">
        <v>196</v>
      </c>
      <c r="E26" s="113">
        <v>3</v>
      </c>
      <c r="F26" s="115">
        <v>4.5</v>
      </c>
      <c r="G26" s="115">
        <v>3.95</v>
      </c>
      <c r="H26" s="115">
        <v>3.6</v>
      </c>
      <c r="I26" s="116">
        <f t="shared" si="2"/>
        <v>3.6</v>
      </c>
      <c r="J26" s="116">
        <f t="shared" si="0"/>
        <v>10.8</v>
      </c>
      <c r="K26" s="116">
        <f t="shared" si="1"/>
        <v>1.8</v>
      </c>
    </row>
    <row r="27" spans="1:11" ht="12.75" customHeight="1" x14ac:dyDescent="0.2">
      <c r="A27" s="124"/>
      <c r="B27" s="246" t="s">
        <v>296</v>
      </c>
      <c r="C27" s="247"/>
      <c r="D27" s="247"/>
      <c r="E27" s="247"/>
      <c r="F27" s="247"/>
      <c r="G27" s="247"/>
      <c r="H27" s="247"/>
      <c r="I27" s="247"/>
      <c r="J27" s="248"/>
      <c r="K27" s="118">
        <f>SUM(K20:K26)</f>
        <v>218.85</v>
      </c>
    </row>
  </sheetData>
  <mergeCells count="7">
    <mergeCell ref="B27:J27"/>
    <mergeCell ref="B11:J11"/>
    <mergeCell ref="B18:J18"/>
    <mergeCell ref="F1:I1"/>
    <mergeCell ref="A3:K3"/>
    <mergeCell ref="A12:K12"/>
    <mergeCell ref="A19:K1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2"/>
  <sheetViews>
    <sheetView showGridLines="0" topLeftCell="A46" workbookViewId="0">
      <selection activeCell="K80" sqref="K80"/>
    </sheetView>
  </sheetViews>
  <sheetFormatPr defaultRowHeight="12.75" x14ac:dyDescent="0.2"/>
  <cols>
    <col min="1" max="1" width="9.28515625" style="126" bestFit="1" customWidth="1"/>
    <col min="2" max="2" width="17.42578125" style="127" customWidth="1"/>
    <col min="3" max="3" width="51.7109375" style="127" customWidth="1"/>
    <col min="4" max="4" width="8.28515625" style="127" bestFit="1" customWidth="1"/>
    <col min="5" max="5" width="11.28515625" style="127" bestFit="1" customWidth="1"/>
    <col min="6" max="6" width="13.28515625" style="127" bestFit="1" customWidth="1"/>
    <col min="7" max="7" width="13.28515625" style="127" customWidth="1"/>
    <col min="8" max="10" width="14.7109375" style="140" customWidth="1"/>
    <col min="11" max="11" width="12.5703125" style="127" bestFit="1" customWidth="1"/>
    <col min="12" max="12" width="12.140625" style="127" bestFit="1" customWidth="1"/>
    <col min="14" max="15" width="9.140625" style="127"/>
    <col min="16" max="16" width="21.28515625" style="127" customWidth="1"/>
    <col min="17" max="16384" width="9.140625" style="127"/>
  </cols>
  <sheetData>
    <row r="1" spans="1:16" x14ac:dyDescent="0.2">
      <c r="H1" s="252" t="s">
        <v>201</v>
      </c>
      <c r="I1" s="252"/>
      <c r="J1" s="252"/>
    </row>
    <row r="2" spans="1:16" ht="38.25" x14ac:dyDescent="0.2">
      <c r="A2" s="128" t="s">
        <v>140</v>
      </c>
      <c r="B2" s="129" t="s">
        <v>312</v>
      </c>
      <c r="C2" s="128" t="s">
        <v>198</v>
      </c>
      <c r="D2" s="128" t="s">
        <v>199</v>
      </c>
      <c r="E2" s="128" t="s">
        <v>291</v>
      </c>
      <c r="F2" s="128" t="s">
        <v>200</v>
      </c>
      <c r="G2" s="128" t="s">
        <v>292</v>
      </c>
      <c r="H2" s="128" t="s">
        <v>185</v>
      </c>
      <c r="I2" s="128" t="s">
        <v>186</v>
      </c>
      <c r="J2" s="128" t="s">
        <v>187</v>
      </c>
      <c r="K2" s="129" t="s">
        <v>293</v>
      </c>
      <c r="L2" s="129" t="s">
        <v>294</v>
      </c>
    </row>
    <row r="3" spans="1:16" ht="102" x14ac:dyDescent="0.2">
      <c r="A3" s="141">
        <v>1</v>
      </c>
      <c r="B3" s="133" t="s">
        <v>295</v>
      </c>
      <c r="C3" s="142" t="s">
        <v>262</v>
      </c>
      <c r="D3" s="130" t="s">
        <v>263</v>
      </c>
      <c r="E3" s="137">
        <v>42</v>
      </c>
      <c r="F3" s="130" t="s">
        <v>136</v>
      </c>
      <c r="G3" s="130">
        <v>1</v>
      </c>
      <c r="H3" s="131">
        <v>9.77</v>
      </c>
      <c r="I3" s="131">
        <v>6.8</v>
      </c>
      <c r="J3" s="131">
        <v>5.18</v>
      </c>
      <c r="K3" s="132">
        <f t="shared" ref="K3:K45" si="0">MIN(H3:J3)</f>
        <v>5.18</v>
      </c>
      <c r="L3" s="132">
        <f>E3*K3/G3</f>
        <v>217.56</v>
      </c>
      <c r="P3" s="155"/>
    </row>
    <row r="4" spans="1:16" ht="63.75" x14ac:dyDescent="0.2">
      <c r="A4" s="141">
        <v>2</v>
      </c>
      <c r="B4" s="133" t="s">
        <v>295</v>
      </c>
      <c r="C4" s="143" t="s">
        <v>270</v>
      </c>
      <c r="D4" s="134" t="s">
        <v>246</v>
      </c>
      <c r="E4" s="134">
        <v>11</v>
      </c>
      <c r="F4" s="133" t="s">
        <v>311</v>
      </c>
      <c r="G4" s="133">
        <v>60</v>
      </c>
      <c r="H4" s="135">
        <v>30.09</v>
      </c>
      <c r="I4" s="135">
        <v>21.1</v>
      </c>
      <c r="J4" s="135">
        <v>34.9</v>
      </c>
      <c r="K4" s="132">
        <f t="shared" si="0"/>
        <v>21.1</v>
      </c>
      <c r="L4" s="136">
        <f>K4*E4/G4</f>
        <v>3.87</v>
      </c>
    </row>
    <row r="5" spans="1:16" ht="76.5" x14ac:dyDescent="0.2">
      <c r="A5" s="141">
        <v>3</v>
      </c>
      <c r="B5" s="133" t="s">
        <v>295</v>
      </c>
      <c r="C5" s="144" t="s">
        <v>264</v>
      </c>
      <c r="D5" s="137" t="s">
        <v>287</v>
      </c>
      <c r="E5" s="137">
        <v>30</v>
      </c>
      <c r="F5" s="137" t="s">
        <v>265</v>
      </c>
      <c r="G5" s="137">
        <v>3</v>
      </c>
      <c r="H5" s="131">
        <v>10.48</v>
      </c>
      <c r="I5" s="131">
        <v>9.14</v>
      </c>
      <c r="J5" s="131">
        <v>9.99</v>
      </c>
      <c r="K5" s="132">
        <f t="shared" si="0"/>
        <v>9.14</v>
      </c>
      <c r="L5" s="132">
        <f>E5*K5/G5</f>
        <v>91.4</v>
      </c>
    </row>
    <row r="6" spans="1:16" ht="25.5" x14ac:dyDescent="0.2">
      <c r="A6" s="141">
        <v>4</v>
      </c>
      <c r="B6" s="133" t="s">
        <v>295</v>
      </c>
      <c r="C6" s="142" t="s">
        <v>230</v>
      </c>
      <c r="D6" s="137" t="s">
        <v>286</v>
      </c>
      <c r="E6" s="137">
        <v>12</v>
      </c>
      <c r="F6" s="130" t="s">
        <v>136</v>
      </c>
      <c r="G6" s="130">
        <v>1</v>
      </c>
      <c r="H6" s="131">
        <v>3.39</v>
      </c>
      <c r="I6" s="131">
        <v>2.4900000000000002</v>
      </c>
      <c r="J6" s="131">
        <v>3.87</v>
      </c>
      <c r="K6" s="132">
        <f t="shared" si="0"/>
        <v>2.4900000000000002</v>
      </c>
      <c r="L6" s="132">
        <f>E6*K6/G6</f>
        <v>29.88</v>
      </c>
    </row>
    <row r="7" spans="1:16" ht="25.5" x14ac:dyDescent="0.2">
      <c r="A7" s="141">
        <v>5</v>
      </c>
      <c r="B7" s="133" t="s">
        <v>295</v>
      </c>
      <c r="C7" s="142" t="s">
        <v>244</v>
      </c>
      <c r="D7" s="130" t="s">
        <v>245</v>
      </c>
      <c r="E7" s="130">
        <v>36</v>
      </c>
      <c r="F7" s="130" t="s">
        <v>136</v>
      </c>
      <c r="G7" s="130">
        <v>1</v>
      </c>
      <c r="H7" s="131">
        <v>6.17</v>
      </c>
      <c r="I7" s="131">
        <v>7.41</v>
      </c>
      <c r="J7" s="131">
        <v>6.25</v>
      </c>
      <c r="K7" s="132">
        <f t="shared" si="0"/>
        <v>6.17</v>
      </c>
      <c r="L7" s="132">
        <f>E7*K7/G7</f>
        <v>222.12</v>
      </c>
    </row>
    <row r="8" spans="1:16" x14ac:dyDescent="0.2">
      <c r="A8" s="141">
        <v>6</v>
      </c>
      <c r="B8" s="133" t="s">
        <v>295</v>
      </c>
      <c r="C8" s="142" t="s">
        <v>252</v>
      </c>
      <c r="D8" s="137" t="s">
        <v>287</v>
      </c>
      <c r="E8" s="130">
        <v>12</v>
      </c>
      <c r="F8" s="130" t="s">
        <v>249</v>
      </c>
      <c r="G8" s="130">
        <v>6</v>
      </c>
      <c r="H8" s="131">
        <v>14.9</v>
      </c>
      <c r="I8" s="131">
        <v>14.76</v>
      </c>
      <c r="J8" s="131">
        <v>32.19</v>
      </c>
      <c r="K8" s="132">
        <f t="shared" si="0"/>
        <v>14.76</v>
      </c>
      <c r="L8" s="132">
        <f>E8*K8/G8</f>
        <v>29.52</v>
      </c>
    </row>
    <row r="9" spans="1:16" ht="25.5" x14ac:dyDescent="0.2">
      <c r="A9" s="141">
        <v>7</v>
      </c>
      <c r="B9" s="133" t="s">
        <v>309</v>
      </c>
      <c r="C9" s="144" t="s">
        <v>276</v>
      </c>
      <c r="D9" s="137" t="s">
        <v>246</v>
      </c>
      <c r="E9" s="137">
        <v>10</v>
      </c>
      <c r="F9" s="133" t="s">
        <v>311</v>
      </c>
      <c r="G9" s="133">
        <v>60</v>
      </c>
      <c r="H9" s="138">
        <v>54.89</v>
      </c>
      <c r="I9" s="138">
        <v>56.59</v>
      </c>
      <c r="J9" s="138">
        <v>61.2</v>
      </c>
      <c r="K9" s="132">
        <f t="shared" si="0"/>
        <v>54.89</v>
      </c>
      <c r="L9" s="136">
        <f>K9*E9/G9</f>
        <v>9.15</v>
      </c>
    </row>
    <row r="10" spans="1:16" ht="25.5" x14ac:dyDescent="0.2">
      <c r="A10" s="141">
        <v>8</v>
      </c>
      <c r="B10" s="133" t="s">
        <v>309</v>
      </c>
      <c r="C10" s="144" t="s">
        <v>275</v>
      </c>
      <c r="D10" s="137" t="s">
        <v>231</v>
      </c>
      <c r="E10" s="137">
        <v>12</v>
      </c>
      <c r="F10" s="133" t="s">
        <v>311</v>
      </c>
      <c r="G10" s="133">
        <v>60</v>
      </c>
      <c r="H10" s="138">
        <v>31.96</v>
      </c>
      <c r="I10" s="138">
        <v>66.09</v>
      </c>
      <c r="J10" s="138">
        <v>66.09</v>
      </c>
      <c r="K10" s="132">
        <f t="shared" si="0"/>
        <v>31.96</v>
      </c>
      <c r="L10" s="136">
        <f>K10*E10/G10</f>
        <v>6.39</v>
      </c>
    </row>
    <row r="11" spans="1:16" ht="63.75" x14ac:dyDescent="0.2">
      <c r="A11" s="141">
        <v>9</v>
      </c>
      <c r="B11" s="133" t="s">
        <v>309</v>
      </c>
      <c r="C11" s="144" t="s">
        <v>272</v>
      </c>
      <c r="D11" s="137" t="s">
        <v>273</v>
      </c>
      <c r="E11" s="137">
        <v>16</v>
      </c>
      <c r="F11" s="133" t="s">
        <v>311</v>
      </c>
      <c r="G11" s="133">
        <v>60</v>
      </c>
      <c r="H11" s="138">
        <v>31.8</v>
      </c>
      <c r="I11" s="138">
        <v>35.9</v>
      </c>
      <c r="J11" s="138">
        <v>39.9</v>
      </c>
      <c r="K11" s="132">
        <f t="shared" si="0"/>
        <v>31.8</v>
      </c>
      <c r="L11" s="136">
        <f>K11*E11/G11</f>
        <v>8.48</v>
      </c>
    </row>
    <row r="12" spans="1:16" ht="204" x14ac:dyDescent="0.2">
      <c r="A12" s="141">
        <v>10</v>
      </c>
      <c r="B12" s="133" t="s">
        <v>295</v>
      </c>
      <c r="C12" s="142" t="s">
        <v>266</v>
      </c>
      <c r="D12" s="130" t="s">
        <v>288</v>
      </c>
      <c r="E12" s="137">
        <v>180</v>
      </c>
      <c r="F12" s="130" t="s">
        <v>136</v>
      </c>
      <c r="G12" s="130">
        <v>1</v>
      </c>
      <c r="H12" s="131">
        <v>10.79</v>
      </c>
      <c r="I12" s="131">
        <v>8.99</v>
      </c>
      <c r="J12" s="131">
        <v>11.11</v>
      </c>
      <c r="K12" s="132">
        <f t="shared" si="0"/>
        <v>8.99</v>
      </c>
      <c r="L12" s="132">
        <f>E12*K12/G12</f>
        <v>1618.2</v>
      </c>
    </row>
    <row r="13" spans="1:16" ht="25.5" x14ac:dyDescent="0.2">
      <c r="A13" s="141">
        <v>11</v>
      </c>
      <c r="B13" s="133" t="s">
        <v>295</v>
      </c>
      <c r="C13" s="144" t="s">
        <v>279</v>
      </c>
      <c r="D13" s="137" t="s">
        <v>287</v>
      </c>
      <c r="E13" s="137">
        <v>84</v>
      </c>
      <c r="F13" s="137" t="s">
        <v>271</v>
      </c>
      <c r="G13" s="137">
        <v>12</v>
      </c>
      <c r="H13" s="131">
        <v>17.260000000000002</v>
      </c>
      <c r="I13" s="131">
        <v>26.9</v>
      </c>
      <c r="J13" s="131">
        <v>16.899999999999999</v>
      </c>
      <c r="K13" s="132">
        <f t="shared" si="0"/>
        <v>16.899999999999999</v>
      </c>
      <c r="L13" s="132">
        <f>E13*K13/G13</f>
        <v>118.3</v>
      </c>
    </row>
    <row r="14" spans="1:16" ht="38.25" x14ac:dyDescent="0.2">
      <c r="A14" s="141">
        <v>12</v>
      </c>
      <c r="B14" s="133" t="s">
        <v>295</v>
      </c>
      <c r="C14" s="144" t="s">
        <v>282</v>
      </c>
      <c r="D14" s="137" t="s">
        <v>246</v>
      </c>
      <c r="E14" s="137">
        <v>5</v>
      </c>
      <c r="F14" s="133" t="s">
        <v>311</v>
      </c>
      <c r="G14" s="133">
        <v>60</v>
      </c>
      <c r="H14" s="138">
        <v>9.9</v>
      </c>
      <c r="I14" s="138">
        <v>11.99</v>
      </c>
      <c r="J14" s="138">
        <v>12.8</v>
      </c>
      <c r="K14" s="132">
        <f t="shared" si="0"/>
        <v>9.9</v>
      </c>
      <c r="L14" s="136">
        <f>K14*E14/G14</f>
        <v>0.83</v>
      </c>
    </row>
    <row r="15" spans="1:16" ht="38.25" x14ac:dyDescent="0.2">
      <c r="A15" s="141">
        <v>13</v>
      </c>
      <c r="B15" s="133" t="s">
        <v>309</v>
      </c>
      <c r="C15" s="142" t="s">
        <v>321</v>
      </c>
      <c r="D15" s="130" t="s">
        <v>241</v>
      </c>
      <c r="E15" s="137">
        <v>66</v>
      </c>
      <c r="F15" s="130" t="s">
        <v>136</v>
      </c>
      <c r="G15" s="130">
        <v>1</v>
      </c>
      <c r="H15" s="138">
        <v>7.8</v>
      </c>
      <c r="I15" s="138">
        <f>134/2500*100</f>
        <v>5.36</v>
      </c>
      <c r="J15" s="138">
        <v>7.8</v>
      </c>
      <c r="K15" s="132">
        <f t="shared" si="0"/>
        <v>5.36</v>
      </c>
      <c r="L15" s="132">
        <f t="shared" ref="L15:L23" si="1">E15*K15/G15</f>
        <v>353.76</v>
      </c>
    </row>
    <row r="16" spans="1:16" ht="38.25" x14ac:dyDescent="0.2">
      <c r="A16" s="141">
        <v>14</v>
      </c>
      <c r="B16" s="133" t="s">
        <v>309</v>
      </c>
      <c r="C16" s="142" t="s">
        <v>267</v>
      </c>
      <c r="D16" s="130" t="s">
        <v>241</v>
      </c>
      <c r="E16" s="137">
        <v>54</v>
      </c>
      <c r="F16" s="130" t="s">
        <v>136</v>
      </c>
      <c r="G16" s="130">
        <v>1</v>
      </c>
      <c r="H16" s="131">
        <v>4.28</v>
      </c>
      <c r="I16" s="131">
        <v>3.9</v>
      </c>
      <c r="J16" s="131">
        <v>3.1</v>
      </c>
      <c r="K16" s="132">
        <f t="shared" si="0"/>
        <v>3.1</v>
      </c>
      <c r="L16" s="132">
        <f t="shared" si="1"/>
        <v>167.4</v>
      </c>
    </row>
    <row r="17" spans="1:12" ht="25.5" x14ac:dyDescent="0.2">
      <c r="A17" s="141">
        <v>15</v>
      </c>
      <c r="B17" s="133" t="s">
        <v>309</v>
      </c>
      <c r="C17" s="144" t="s">
        <v>277</v>
      </c>
      <c r="D17" s="137" t="s">
        <v>287</v>
      </c>
      <c r="E17" s="137">
        <v>300</v>
      </c>
      <c r="F17" s="137" t="s">
        <v>271</v>
      </c>
      <c r="G17" s="137">
        <v>12</v>
      </c>
      <c r="H17" s="131">
        <v>5.75</v>
      </c>
      <c r="I17" s="131">
        <v>4.8899999999999997</v>
      </c>
      <c r="J17" s="131">
        <v>4.08</v>
      </c>
      <c r="K17" s="132">
        <f t="shared" si="0"/>
        <v>4.08</v>
      </c>
      <c r="L17" s="132">
        <f t="shared" si="1"/>
        <v>102</v>
      </c>
    </row>
    <row r="18" spans="1:12" ht="38.25" x14ac:dyDescent="0.2">
      <c r="A18" s="141">
        <v>16</v>
      </c>
      <c r="B18" s="133" t="s">
        <v>295</v>
      </c>
      <c r="C18" s="142" t="s">
        <v>290</v>
      </c>
      <c r="D18" s="137" t="s">
        <v>289</v>
      </c>
      <c r="E18" s="137">
        <v>48</v>
      </c>
      <c r="F18" s="130" t="s">
        <v>136</v>
      </c>
      <c r="G18" s="130">
        <v>1</v>
      </c>
      <c r="H18" s="131">
        <v>1.65</v>
      </c>
      <c r="I18" s="131">
        <v>1.95</v>
      </c>
      <c r="J18" s="131">
        <v>1.89</v>
      </c>
      <c r="K18" s="132">
        <f t="shared" si="0"/>
        <v>1.65</v>
      </c>
      <c r="L18" s="132">
        <f t="shared" si="1"/>
        <v>79.2</v>
      </c>
    </row>
    <row r="19" spans="1:12" x14ac:dyDescent="0.2">
      <c r="A19" s="141">
        <v>17</v>
      </c>
      <c r="B19" s="133" t="s">
        <v>295</v>
      </c>
      <c r="C19" s="142" t="s">
        <v>261</v>
      </c>
      <c r="D19" s="130" t="s">
        <v>287</v>
      </c>
      <c r="E19" s="130">
        <v>6</v>
      </c>
      <c r="F19" s="130" t="s">
        <v>249</v>
      </c>
      <c r="G19" s="130">
        <v>6</v>
      </c>
      <c r="H19" s="131">
        <v>3.99</v>
      </c>
      <c r="I19" s="131">
        <v>7.59</v>
      </c>
      <c r="J19" s="131">
        <v>5.26</v>
      </c>
      <c r="K19" s="132">
        <f t="shared" si="0"/>
        <v>3.99</v>
      </c>
      <c r="L19" s="132">
        <f t="shared" si="1"/>
        <v>3.99</v>
      </c>
    </row>
    <row r="20" spans="1:12" ht="38.25" x14ac:dyDescent="0.2">
      <c r="A20" s="141">
        <v>18</v>
      </c>
      <c r="B20" s="133" t="s">
        <v>295</v>
      </c>
      <c r="C20" s="142" t="s">
        <v>234</v>
      </c>
      <c r="D20" s="130" t="s">
        <v>235</v>
      </c>
      <c r="E20" s="130">
        <v>18</v>
      </c>
      <c r="F20" s="130" t="s">
        <v>136</v>
      </c>
      <c r="G20" s="130">
        <v>1</v>
      </c>
      <c r="H20" s="131">
        <v>2.68</v>
      </c>
      <c r="I20" s="131">
        <v>3.79</v>
      </c>
      <c r="J20" s="131">
        <v>3.49</v>
      </c>
      <c r="K20" s="132">
        <f t="shared" si="0"/>
        <v>2.68</v>
      </c>
      <c r="L20" s="132">
        <f t="shared" si="1"/>
        <v>48.24</v>
      </c>
    </row>
    <row r="21" spans="1:12" x14ac:dyDescent="0.2">
      <c r="A21" s="141">
        <v>19</v>
      </c>
      <c r="B21" s="133" t="s">
        <v>295</v>
      </c>
      <c r="C21" s="142" t="s">
        <v>236</v>
      </c>
      <c r="D21" s="137" t="s">
        <v>287</v>
      </c>
      <c r="E21" s="130">
        <v>24</v>
      </c>
      <c r="F21" s="130" t="s">
        <v>136</v>
      </c>
      <c r="G21" s="130">
        <v>1</v>
      </c>
      <c r="H21" s="131">
        <v>1.75</v>
      </c>
      <c r="I21" s="131">
        <v>2.79</v>
      </c>
      <c r="J21" s="131">
        <v>2.79</v>
      </c>
      <c r="K21" s="132">
        <f t="shared" si="0"/>
        <v>1.75</v>
      </c>
      <c r="L21" s="132">
        <f t="shared" si="1"/>
        <v>42</v>
      </c>
    </row>
    <row r="22" spans="1:12" ht="51" x14ac:dyDescent="0.2">
      <c r="A22" s="141">
        <v>20</v>
      </c>
      <c r="B22" s="133" t="s">
        <v>295</v>
      </c>
      <c r="C22" s="144" t="s">
        <v>305</v>
      </c>
      <c r="D22" s="137" t="s">
        <v>287</v>
      </c>
      <c r="E22" s="137">
        <v>3</v>
      </c>
      <c r="F22" s="137" t="s">
        <v>271</v>
      </c>
      <c r="G22" s="137">
        <v>12</v>
      </c>
      <c r="H22" s="138">
        <v>5.36</v>
      </c>
      <c r="I22" s="138">
        <v>5.58</v>
      </c>
      <c r="J22" s="138">
        <v>7.97</v>
      </c>
      <c r="K22" s="132">
        <f t="shared" si="0"/>
        <v>5.36</v>
      </c>
      <c r="L22" s="132">
        <f t="shared" si="1"/>
        <v>1.34</v>
      </c>
    </row>
    <row r="23" spans="1:12" ht="38.25" x14ac:dyDescent="0.2">
      <c r="A23" s="141">
        <v>21</v>
      </c>
      <c r="B23" s="133" t="s">
        <v>309</v>
      </c>
      <c r="C23" s="142" t="s">
        <v>268</v>
      </c>
      <c r="D23" s="130" t="s">
        <v>269</v>
      </c>
      <c r="E23" s="130">
        <v>35</v>
      </c>
      <c r="F23" s="130" t="s">
        <v>136</v>
      </c>
      <c r="G23" s="130">
        <v>1</v>
      </c>
      <c r="H23" s="131">
        <v>4.7</v>
      </c>
      <c r="I23" s="131">
        <v>4.9000000000000004</v>
      </c>
      <c r="J23" s="131">
        <v>3.86</v>
      </c>
      <c r="K23" s="132">
        <f t="shared" si="0"/>
        <v>3.86</v>
      </c>
      <c r="L23" s="132">
        <f t="shared" si="1"/>
        <v>135.1</v>
      </c>
    </row>
    <row r="24" spans="1:12" x14ac:dyDescent="0.2">
      <c r="A24" s="141">
        <v>22</v>
      </c>
      <c r="B24" s="133" t="s">
        <v>309</v>
      </c>
      <c r="C24" s="144" t="s">
        <v>278</v>
      </c>
      <c r="D24" s="137" t="s">
        <v>246</v>
      </c>
      <c r="E24" s="137">
        <v>72</v>
      </c>
      <c r="F24" s="133" t="s">
        <v>311</v>
      </c>
      <c r="G24" s="133">
        <v>60</v>
      </c>
      <c r="H24" s="138">
        <v>54.9</v>
      </c>
      <c r="I24" s="138">
        <v>62.8</v>
      </c>
      <c r="J24" s="138">
        <v>98.99</v>
      </c>
      <c r="K24" s="132">
        <f t="shared" si="0"/>
        <v>54.9</v>
      </c>
      <c r="L24" s="136">
        <f>K24*E24/G24</f>
        <v>65.88</v>
      </c>
    </row>
    <row r="25" spans="1:12" ht="38.25" x14ac:dyDescent="0.2">
      <c r="A25" s="141">
        <v>23</v>
      </c>
      <c r="B25" s="133" t="s">
        <v>295</v>
      </c>
      <c r="C25" s="142" t="s">
        <v>232</v>
      </c>
      <c r="D25" s="130" t="s">
        <v>233</v>
      </c>
      <c r="E25" s="130">
        <v>4</v>
      </c>
      <c r="F25" s="130" t="s">
        <v>136</v>
      </c>
      <c r="G25" s="130">
        <v>1</v>
      </c>
      <c r="H25" s="131">
        <v>1.9</v>
      </c>
      <c r="I25" s="131">
        <v>1.65</v>
      </c>
      <c r="J25" s="131">
        <v>1.69</v>
      </c>
      <c r="K25" s="132">
        <f t="shared" si="0"/>
        <v>1.65</v>
      </c>
      <c r="L25" s="132">
        <f>E25*K25/G25</f>
        <v>6.6</v>
      </c>
    </row>
    <row r="26" spans="1:12" ht="25.5" x14ac:dyDescent="0.2">
      <c r="A26" s="141">
        <v>24</v>
      </c>
      <c r="B26" s="133" t="s">
        <v>295</v>
      </c>
      <c r="C26" s="144" t="s">
        <v>274</v>
      </c>
      <c r="D26" s="137" t="s">
        <v>231</v>
      </c>
      <c r="E26" s="137">
        <v>6</v>
      </c>
      <c r="F26" s="133" t="s">
        <v>311</v>
      </c>
      <c r="G26" s="133">
        <v>60</v>
      </c>
      <c r="H26" s="138">
        <v>32.9</v>
      </c>
      <c r="I26" s="138">
        <v>31.2</v>
      </c>
      <c r="J26" s="138">
        <v>30.09</v>
      </c>
      <c r="K26" s="132">
        <f t="shared" si="0"/>
        <v>30.09</v>
      </c>
      <c r="L26" s="136">
        <f>K26*E26/G26</f>
        <v>3.01</v>
      </c>
    </row>
    <row r="27" spans="1:12" ht="25.5" x14ac:dyDescent="0.2">
      <c r="A27" s="141">
        <v>25</v>
      </c>
      <c r="B27" s="133" t="s">
        <v>295</v>
      </c>
      <c r="C27" s="142" t="s">
        <v>259</v>
      </c>
      <c r="D27" s="130" t="s">
        <v>260</v>
      </c>
      <c r="E27" s="130">
        <v>12</v>
      </c>
      <c r="F27" s="130" t="s">
        <v>249</v>
      </c>
      <c r="G27" s="130">
        <v>6</v>
      </c>
      <c r="H27" s="131">
        <v>2.78</v>
      </c>
      <c r="I27" s="131">
        <v>1.83</v>
      </c>
      <c r="J27" s="131">
        <v>3.04</v>
      </c>
      <c r="K27" s="132">
        <f t="shared" si="0"/>
        <v>1.83</v>
      </c>
      <c r="L27" s="132">
        <f>E27*K27/G27</f>
        <v>3.66</v>
      </c>
    </row>
    <row r="28" spans="1:12" ht="38.25" x14ac:dyDescent="0.2">
      <c r="A28" s="141">
        <v>26</v>
      </c>
      <c r="B28" s="133" t="s">
        <v>295</v>
      </c>
      <c r="C28" s="142" t="s">
        <v>242</v>
      </c>
      <c r="D28" s="130" t="s">
        <v>243</v>
      </c>
      <c r="E28" s="130">
        <v>12</v>
      </c>
      <c r="F28" s="130" t="s">
        <v>136</v>
      </c>
      <c r="G28" s="130">
        <v>1</v>
      </c>
      <c r="H28" s="131">
        <v>2.54</v>
      </c>
      <c r="I28" s="131">
        <v>3.55</v>
      </c>
      <c r="J28" s="131">
        <v>2.61</v>
      </c>
      <c r="K28" s="132">
        <f t="shared" si="0"/>
        <v>2.54</v>
      </c>
      <c r="L28" s="132">
        <f>E28*K28/G28</f>
        <v>30.48</v>
      </c>
    </row>
    <row r="29" spans="1:12" ht="25.5" x14ac:dyDescent="0.2">
      <c r="A29" s="141">
        <v>27</v>
      </c>
      <c r="B29" s="133" t="s">
        <v>295</v>
      </c>
      <c r="C29" s="142" t="s">
        <v>247</v>
      </c>
      <c r="D29" s="130" t="s">
        <v>288</v>
      </c>
      <c r="E29" s="130">
        <v>6</v>
      </c>
      <c r="F29" s="130" t="s">
        <v>136</v>
      </c>
      <c r="G29" s="130">
        <v>1</v>
      </c>
      <c r="H29" s="131">
        <v>10.47</v>
      </c>
      <c r="I29" s="131">
        <v>4.63</v>
      </c>
      <c r="J29" s="131">
        <v>6.9</v>
      </c>
      <c r="K29" s="132">
        <f t="shared" si="0"/>
        <v>4.63</v>
      </c>
      <c r="L29" s="132">
        <f>E29*K29/G29</f>
        <v>27.78</v>
      </c>
    </row>
    <row r="30" spans="1:12" x14ac:dyDescent="0.2">
      <c r="A30" s="141">
        <v>28</v>
      </c>
      <c r="B30" s="133" t="s">
        <v>295</v>
      </c>
      <c r="C30" s="142" t="s">
        <v>254</v>
      </c>
      <c r="D30" s="137" t="s">
        <v>287</v>
      </c>
      <c r="E30" s="130">
        <v>12</v>
      </c>
      <c r="F30" s="130" t="s">
        <v>249</v>
      </c>
      <c r="G30" s="130">
        <v>6</v>
      </c>
      <c r="H30" s="131">
        <v>19.899999999999999</v>
      </c>
      <c r="I30" s="131">
        <v>24</v>
      </c>
      <c r="J30" s="131">
        <v>15.44</v>
      </c>
      <c r="K30" s="132">
        <f t="shared" si="0"/>
        <v>15.44</v>
      </c>
      <c r="L30" s="132">
        <f>E30*K30/G30</f>
        <v>30.88</v>
      </c>
    </row>
    <row r="31" spans="1:12" ht="25.5" x14ac:dyDescent="0.2">
      <c r="A31" s="141">
        <v>29</v>
      </c>
      <c r="B31" s="133" t="s">
        <v>295</v>
      </c>
      <c r="C31" s="144" t="s">
        <v>237</v>
      </c>
      <c r="D31" s="137" t="s">
        <v>287</v>
      </c>
      <c r="E31" s="137">
        <v>24</v>
      </c>
      <c r="F31" s="137" t="s">
        <v>136</v>
      </c>
      <c r="G31" s="137">
        <v>1</v>
      </c>
      <c r="H31" s="138">
        <v>2.9</v>
      </c>
      <c r="I31" s="138">
        <v>3</v>
      </c>
      <c r="J31" s="138">
        <v>4.29</v>
      </c>
      <c r="K31" s="132">
        <f t="shared" si="0"/>
        <v>2.9</v>
      </c>
      <c r="L31" s="132">
        <f>E31*K31/G31</f>
        <v>69.599999999999994</v>
      </c>
    </row>
    <row r="32" spans="1:12" ht="38.25" x14ac:dyDescent="0.2">
      <c r="A32" s="141">
        <v>30</v>
      </c>
      <c r="B32" s="133" t="s">
        <v>295</v>
      </c>
      <c r="C32" s="144" t="s">
        <v>302</v>
      </c>
      <c r="D32" s="137" t="s">
        <v>246</v>
      </c>
      <c r="E32" s="137">
        <v>6</v>
      </c>
      <c r="F32" s="133" t="s">
        <v>311</v>
      </c>
      <c r="G32" s="133">
        <v>60</v>
      </c>
      <c r="H32" s="138">
        <v>14.79</v>
      </c>
      <c r="I32" s="138">
        <v>17.899999999999999</v>
      </c>
      <c r="J32" s="138">
        <v>19.989999999999998</v>
      </c>
      <c r="K32" s="132">
        <f t="shared" si="0"/>
        <v>14.79</v>
      </c>
      <c r="L32" s="136">
        <f>K32*E32/G32</f>
        <v>1.48</v>
      </c>
    </row>
    <row r="33" spans="1:12" ht="51" x14ac:dyDescent="0.2">
      <c r="A33" s="141">
        <v>31</v>
      </c>
      <c r="B33" s="133" t="s">
        <v>295</v>
      </c>
      <c r="C33" s="144" t="s">
        <v>280</v>
      </c>
      <c r="D33" s="137" t="s">
        <v>246</v>
      </c>
      <c r="E33" s="137">
        <v>5</v>
      </c>
      <c r="F33" s="133" t="s">
        <v>311</v>
      </c>
      <c r="G33" s="133">
        <v>60</v>
      </c>
      <c r="H33" s="138">
        <v>15.5</v>
      </c>
      <c r="I33" s="138">
        <v>15.99</v>
      </c>
      <c r="J33" s="138">
        <v>11.9</v>
      </c>
      <c r="K33" s="132">
        <f t="shared" si="0"/>
        <v>11.9</v>
      </c>
      <c r="L33" s="136">
        <f>K33*E33/G33</f>
        <v>0.99</v>
      </c>
    </row>
    <row r="34" spans="1:12" ht="63.75" x14ac:dyDescent="0.2">
      <c r="A34" s="141">
        <v>32</v>
      </c>
      <c r="B34" s="133" t="s">
        <v>309</v>
      </c>
      <c r="C34" s="144" t="s">
        <v>281</v>
      </c>
      <c r="D34" s="137" t="s">
        <v>246</v>
      </c>
      <c r="E34" s="137">
        <v>20</v>
      </c>
      <c r="F34" s="133" t="s">
        <v>311</v>
      </c>
      <c r="G34" s="133">
        <v>60</v>
      </c>
      <c r="H34" s="138">
        <v>19.899999999999999</v>
      </c>
      <c r="I34" s="138">
        <v>8.9499999999999993</v>
      </c>
      <c r="J34" s="138">
        <v>44.9</v>
      </c>
      <c r="K34" s="132">
        <f t="shared" si="0"/>
        <v>8.9499999999999993</v>
      </c>
      <c r="L34" s="136">
        <f>K34*E34/G34</f>
        <v>2.98</v>
      </c>
    </row>
    <row r="35" spans="1:12" x14ac:dyDescent="0.2">
      <c r="A35" s="141">
        <v>33</v>
      </c>
      <c r="B35" s="133" t="s">
        <v>295</v>
      </c>
      <c r="C35" s="142" t="s">
        <v>251</v>
      </c>
      <c r="D35" s="137" t="s">
        <v>287</v>
      </c>
      <c r="E35" s="130">
        <v>6</v>
      </c>
      <c r="F35" s="130" t="s">
        <v>249</v>
      </c>
      <c r="G35" s="130">
        <v>6</v>
      </c>
      <c r="H35" s="131">
        <v>6.29</v>
      </c>
      <c r="I35" s="131">
        <v>10.9</v>
      </c>
      <c r="J35" s="131">
        <v>31.28</v>
      </c>
      <c r="K35" s="132">
        <f t="shared" si="0"/>
        <v>6.29</v>
      </c>
      <c r="L35" s="132">
        <f t="shared" ref="L35:L45" si="2">E35*K35/G35</f>
        <v>6.29</v>
      </c>
    </row>
    <row r="36" spans="1:12" s="126" customFormat="1" ht="25.5" x14ac:dyDescent="0.2">
      <c r="A36" s="141">
        <v>34</v>
      </c>
      <c r="B36" s="133" t="s">
        <v>295</v>
      </c>
      <c r="C36" s="142" t="s">
        <v>253</v>
      </c>
      <c r="D36" s="137" t="s">
        <v>287</v>
      </c>
      <c r="E36" s="130">
        <v>12</v>
      </c>
      <c r="F36" s="130" t="s">
        <v>249</v>
      </c>
      <c r="G36" s="130">
        <v>6</v>
      </c>
      <c r="H36" s="131">
        <v>5.5</v>
      </c>
      <c r="I36" s="131">
        <v>6.9</v>
      </c>
      <c r="J36" s="131">
        <v>10.99</v>
      </c>
      <c r="K36" s="132">
        <f t="shared" si="0"/>
        <v>5.5</v>
      </c>
      <c r="L36" s="132">
        <f t="shared" si="2"/>
        <v>11</v>
      </c>
    </row>
    <row r="37" spans="1:12" s="126" customFormat="1" ht="63.75" x14ac:dyDescent="0.2">
      <c r="A37" s="141">
        <v>35</v>
      </c>
      <c r="B37" s="133" t="s">
        <v>295</v>
      </c>
      <c r="C37" s="142" t="s">
        <v>255</v>
      </c>
      <c r="D37" s="130" t="s">
        <v>256</v>
      </c>
      <c r="E37" s="130">
        <v>3</v>
      </c>
      <c r="F37" s="130" t="s">
        <v>249</v>
      </c>
      <c r="G37" s="130">
        <v>6</v>
      </c>
      <c r="H37" s="131">
        <v>7.99</v>
      </c>
      <c r="I37" s="131">
        <v>6.29</v>
      </c>
      <c r="J37" s="131">
        <v>7.97</v>
      </c>
      <c r="K37" s="132">
        <f t="shared" si="0"/>
        <v>6.29</v>
      </c>
      <c r="L37" s="132">
        <f t="shared" si="2"/>
        <v>3.15</v>
      </c>
    </row>
    <row r="38" spans="1:12" s="126" customFormat="1" ht="25.5" x14ac:dyDescent="0.2">
      <c r="A38" s="141">
        <v>36</v>
      </c>
      <c r="B38" s="133" t="s">
        <v>295</v>
      </c>
      <c r="C38" s="142" t="s">
        <v>257</v>
      </c>
      <c r="D38" s="130" t="s">
        <v>258</v>
      </c>
      <c r="E38" s="130">
        <v>2</v>
      </c>
      <c r="F38" s="130" t="s">
        <v>249</v>
      </c>
      <c r="G38" s="130">
        <v>6</v>
      </c>
      <c r="H38" s="131">
        <v>33</v>
      </c>
      <c r="I38" s="131">
        <v>39.11</v>
      </c>
      <c r="J38" s="131">
        <v>28.6</v>
      </c>
      <c r="K38" s="132">
        <f t="shared" si="0"/>
        <v>28.6</v>
      </c>
      <c r="L38" s="132">
        <f t="shared" si="2"/>
        <v>9.5299999999999994</v>
      </c>
    </row>
    <row r="39" spans="1:12" s="126" customFormat="1" ht="38.25" x14ac:dyDescent="0.2">
      <c r="A39" s="141">
        <v>37</v>
      </c>
      <c r="B39" s="133" t="s">
        <v>295</v>
      </c>
      <c r="C39" s="142" t="s">
        <v>238</v>
      </c>
      <c r="D39" s="130" t="s">
        <v>239</v>
      </c>
      <c r="E39" s="130">
        <v>1</v>
      </c>
      <c r="F39" s="130" t="s">
        <v>136</v>
      </c>
      <c r="G39" s="130">
        <v>1</v>
      </c>
      <c r="H39" s="131">
        <v>21.48</v>
      </c>
      <c r="I39" s="131">
        <v>21.84</v>
      </c>
      <c r="J39" s="131">
        <v>21.84</v>
      </c>
      <c r="K39" s="132">
        <f t="shared" si="0"/>
        <v>21.48</v>
      </c>
      <c r="L39" s="132">
        <f t="shared" si="2"/>
        <v>21.48</v>
      </c>
    </row>
    <row r="40" spans="1:12" s="126" customFormat="1" ht="38.25" x14ac:dyDescent="0.2">
      <c r="A40" s="141">
        <v>38</v>
      </c>
      <c r="B40" s="133" t="s">
        <v>295</v>
      </c>
      <c r="C40" s="142" t="s">
        <v>240</v>
      </c>
      <c r="D40" s="130" t="s">
        <v>241</v>
      </c>
      <c r="E40" s="130">
        <v>1</v>
      </c>
      <c r="F40" s="130" t="s">
        <v>136</v>
      </c>
      <c r="G40" s="130">
        <v>1</v>
      </c>
      <c r="H40" s="131">
        <v>23.4</v>
      </c>
      <c r="I40" s="131">
        <v>36.99</v>
      </c>
      <c r="J40" s="131">
        <v>34.47</v>
      </c>
      <c r="K40" s="132">
        <f t="shared" si="0"/>
        <v>23.4</v>
      </c>
      <c r="L40" s="132">
        <f t="shared" si="2"/>
        <v>23.4</v>
      </c>
    </row>
    <row r="41" spans="1:12" s="126" customFormat="1" ht="25.5" x14ac:dyDescent="0.2">
      <c r="A41" s="141">
        <v>39</v>
      </c>
      <c r="B41" s="133" t="s">
        <v>295</v>
      </c>
      <c r="C41" s="142" t="s">
        <v>248</v>
      </c>
      <c r="D41" s="137" t="s">
        <v>287</v>
      </c>
      <c r="E41" s="130">
        <v>12</v>
      </c>
      <c r="F41" s="130" t="s">
        <v>249</v>
      </c>
      <c r="G41" s="130">
        <v>6</v>
      </c>
      <c r="H41" s="131">
        <v>7.5</v>
      </c>
      <c r="I41" s="131">
        <v>8.4</v>
      </c>
      <c r="J41" s="131">
        <v>14.52</v>
      </c>
      <c r="K41" s="132">
        <f t="shared" si="0"/>
        <v>7.5</v>
      </c>
      <c r="L41" s="132">
        <f t="shared" si="2"/>
        <v>15</v>
      </c>
    </row>
    <row r="42" spans="1:12" s="126" customFormat="1" ht="43.5" customHeight="1" x14ac:dyDescent="0.2">
      <c r="A42" s="141">
        <v>40</v>
      </c>
      <c r="B42" s="133" t="s">
        <v>309</v>
      </c>
      <c r="C42" s="144" t="s">
        <v>308</v>
      </c>
      <c r="D42" s="137" t="s">
        <v>287</v>
      </c>
      <c r="E42" s="137">
        <v>30</v>
      </c>
      <c r="F42" s="137" t="s">
        <v>271</v>
      </c>
      <c r="G42" s="137">
        <v>12</v>
      </c>
      <c r="H42" s="138">
        <f>15.9/6</f>
        <v>2.65</v>
      </c>
      <c r="I42" s="138">
        <f>22.9/6</f>
        <v>3.82</v>
      </c>
      <c r="J42" s="138">
        <f>29.99/6</f>
        <v>5</v>
      </c>
      <c r="K42" s="139">
        <f t="shared" si="0"/>
        <v>2.65</v>
      </c>
      <c r="L42" s="139">
        <f t="shared" si="2"/>
        <v>6.63</v>
      </c>
    </row>
    <row r="43" spans="1:12" s="126" customFormat="1" x14ac:dyDescent="0.2">
      <c r="A43" s="141">
        <v>41</v>
      </c>
      <c r="B43" s="133" t="s">
        <v>309</v>
      </c>
      <c r="C43" s="144" t="s">
        <v>307</v>
      </c>
      <c r="D43" s="137" t="s">
        <v>287</v>
      </c>
      <c r="E43" s="137">
        <v>36</v>
      </c>
      <c r="F43" s="137" t="s">
        <v>271</v>
      </c>
      <c r="G43" s="137">
        <v>12</v>
      </c>
      <c r="H43" s="138">
        <f>15.9/6</f>
        <v>2.65</v>
      </c>
      <c r="I43" s="138">
        <f>22.9/6</f>
        <v>3.82</v>
      </c>
      <c r="J43" s="138">
        <f>29.99/6</f>
        <v>5</v>
      </c>
      <c r="K43" s="139">
        <f t="shared" si="0"/>
        <v>2.65</v>
      </c>
      <c r="L43" s="139">
        <f t="shared" si="2"/>
        <v>7.95</v>
      </c>
    </row>
    <row r="44" spans="1:12" s="126" customFormat="1" ht="25.5" x14ac:dyDescent="0.2">
      <c r="A44" s="141">
        <v>42</v>
      </c>
      <c r="B44" s="133" t="s">
        <v>309</v>
      </c>
      <c r="C44" s="144" t="s">
        <v>306</v>
      </c>
      <c r="D44" s="137" t="s">
        <v>287</v>
      </c>
      <c r="E44" s="137">
        <v>42</v>
      </c>
      <c r="F44" s="137" t="s">
        <v>271</v>
      </c>
      <c r="G44" s="137">
        <v>12</v>
      </c>
      <c r="H44" s="138">
        <v>15.9</v>
      </c>
      <c r="I44" s="138">
        <v>22.9</v>
      </c>
      <c r="J44" s="138">
        <v>29.99</v>
      </c>
      <c r="K44" s="132">
        <f t="shared" si="0"/>
        <v>15.9</v>
      </c>
      <c r="L44" s="132">
        <f t="shared" si="2"/>
        <v>55.65</v>
      </c>
    </row>
    <row r="45" spans="1:12" s="126" customFormat="1" ht="25.5" x14ac:dyDescent="0.2">
      <c r="A45" s="141">
        <v>43</v>
      </c>
      <c r="B45" s="133" t="s">
        <v>295</v>
      </c>
      <c r="C45" s="142" t="s">
        <v>250</v>
      </c>
      <c r="D45" s="137" t="s">
        <v>287</v>
      </c>
      <c r="E45" s="130">
        <v>6</v>
      </c>
      <c r="F45" s="130" t="s">
        <v>249</v>
      </c>
      <c r="G45" s="130">
        <v>6</v>
      </c>
      <c r="H45" s="131">
        <v>15.9</v>
      </c>
      <c r="I45" s="131">
        <v>69.7</v>
      </c>
      <c r="J45" s="131">
        <v>18.899999999999999</v>
      </c>
      <c r="K45" s="132">
        <f t="shared" si="0"/>
        <v>15.9</v>
      </c>
      <c r="L45" s="132">
        <f t="shared" si="2"/>
        <v>15.9</v>
      </c>
    </row>
    <row r="46" spans="1:12" x14ac:dyDescent="0.2">
      <c r="L46" s="145"/>
    </row>
    <row r="47" spans="1:12" ht="15.75" x14ac:dyDescent="0.2">
      <c r="I47" s="253" t="s">
        <v>313</v>
      </c>
      <c r="J47" s="254"/>
      <c r="K47" s="254"/>
      <c r="L47" s="255"/>
    </row>
    <row r="48" spans="1:12" ht="54" customHeight="1" x14ac:dyDescent="0.2">
      <c r="I48" s="146" t="s">
        <v>317</v>
      </c>
      <c r="J48" s="125" t="s">
        <v>314</v>
      </c>
      <c r="K48" s="125" t="s">
        <v>316</v>
      </c>
      <c r="L48" s="148" t="s">
        <v>315</v>
      </c>
    </row>
    <row r="49" spans="3:12" x14ac:dyDescent="0.2">
      <c r="I49" s="146" t="s">
        <v>295</v>
      </c>
      <c r="J49" s="147">
        <f ca="1">SUMIF($B$3:$B$45,I49,$L$3:$L$24)</f>
        <v>2786.68</v>
      </c>
      <c r="K49" s="125">
        <v>3</v>
      </c>
      <c r="L49" s="149">
        <f ca="1">J49/K49</f>
        <v>928.89</v>
      </c>
    </row>
    <row r="50" spans="3:12" x14ac:dyDescent="0.2">
      <c r="I50" s="146" t="s">
        <v>309</v>
      </c>
      <c r="J50" s="147">
        <f ca="1">SUMIF($B$3:$B$45,I50,$L$3:$L$24)</f>
        <v>921.37</v>
      </c>
      <c r="K50" s="125">
        <v>7</v>
      </c>
      <c r="L50" s="149">
        <f t="shared" ref="L50:L51" ca="1" si="3">J50/K50</f>
        <v>131.62</v>
      </c>
    </row>
    <row r="51" spans="3:12" x14ac:dyDescent="0.2">
      <c r="I51" s="146" t="s">
        <v>310</v>
      </c>
      <c r="J51" s="147">
        <f ca="1">SUMIF($B$3:$B$45,I51,$L$3:$L$24)</f>
        <v>0</v>
      </c>
      <c r="K51" s="125">
        <v>1</v>
      </c>
      <c r="L51" s="149">
        <f t="shared" ca="1" si="3"/>
        <v>0</v>
      </c>
    </row>
    <row r="52" spans="3:12" x14ac:dyDescent="0.2">
      <c r="C52" s="110"/>
      <c r="D52" s="110"/>
      <c r="E52" s="110"/>
    </row>
  </sheetData>
  <dataConsolidate/>
  <mergeCells count="2">
    <mergeCell ref="H1:J1"/>
    <mergeCell ref="I47:L4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5"/>
  <sheetViews>
    <sheetView showGridLines="0" tabSelected="1" topLeftCell="A7" zoomScaleNormal="100" workbookViewId="0">
      <selection activeCell="P18" sqref="P18"/>
    </sheetView>
  </sheetViews>
  <sheetFormatPr defaultRowHeight="12.75" x14ac:dyDescent="0.2"/>
  <cols>
    <col min="1" max="1" width="9.140625" style="126"/>
    <col min="2" max="2" width="18.140625" style="126" customWidth="1"/>
    <col min="3" max="3" width="57.42578125" style="126" customWidth="1"/>
    <col min="4" max="10" width="11.5703125" style="126" customWidth="1"/>
    <col min="11" max="11" width="12.7109375" style="126" bestFit="1" customWidth="1"/>
    <col min="12" max="12" width="14.140625" style="126" bestFit="1" customWidth="1"/>
    <col min="13" max="13" width="11.28515625" style="126" bestFit="1" customWidth="1"/>
    <col min="14" max="14" width="9.140625" style="126"/>
    <col min="15" max="15" width="11.42578125" style="126" bestFit="1" customWidth="1"/>
    <col min="16" max="16384" width="9.140625" style="126"/>
  </cols>
  <sheetData>
    <row r="1" spans="1:15" x14ac:dyDescent="0.2">
      <c r="A1" s="127"/>
      <c r="B1" s="127"/>
      <c r="C1" s="127"/>
      <c r="D1" s="127"/>
      <c r="E1" s="127"/>
      <c r="F1" s="127"/>
      <c r="G1" s="127"/>
      <c r="H1" s="252" t="s">
        <v>197</v>
      </c>
      <c r="I1" s="252"/>
      <c r="J1" s="252"/>
      <c r="K1" s="127"/>
      <c r="L1" s="127"/>
      <c r="M1" s="160"/>
    </row>
    <row r="2" spans="1:15" ht="51" x14ac:dyDescent="0.2">
      <c r="A2" s="129" t="s">
        <v>140</v>
      </c>
      <c r="B2" s="129" t="s">
        <v>312</v>
      </c>
      <c r="C2" s="128" t="s">
        <v>198</v>
      </c>
      <c r="D2" s="128" t="s">
        <v>199</v>
      </c>
      <c r="E2" s="128" t="s">
        <v>291</v>
      </c>
      <c r="F2" s="128" t="s">
        <v>200</v>
      </c>
      <c r="G2" s="128" t="s">
        <v>292</v>
      </c>
      <c r="H2" s="128" t="s">
        <v>185</v>
      </c>
      <c r="I2" s="128" t="s">
        <v>186</v>
      </c>
      <c r="J2" s="128" t="s">
        <v>187</v>
      </c>
      <c r="K2" s="256" t="s">
        <v>293</v>
      </c>
      <c r="L2" s="259" t="s">
        <v>294</v>
      </c>
      <c r="M2" s="129" t="s">
        <v>318</v>
      </c>
    </row>
    <row r="3" spans="1:15" ht="63.75" x14ac:dyDescent="0.2">
      <c r="A3" s="133">
        <v>1</v>
      </c>
      <c r="B3" s="133" t="s">
        <v>295</v>
      </c>
      <c r="C3" s="150" t="s">
        <v>285</v>
      </c>
      <c r="D3" s="151" t="s">
        <v>231</v>
      </c>
      <c r="E3" s="151">
        <v>5</v>
      </c>
      <c r="F3" s="151" t="s">
        <v>311</v>
      </c>
      <c r="G3" s="151">
        <v>12</v>
      </c>
      <c r="H3" s="152">
        <v>690.9</v>
      </c>
      <c r="I3" s="152">
        <v>693</v>
      </c>
      <c r="J3" s="152">
        <v>590.99</v>
      </c>
      <c r="K3" s="257">
        <f t="shared" ref="K3:K8" si="0">MIN(H3:J3)</f>
        <v>590.99</v>
      </c>
      <c r="L3" s="260">
        <f t="shared" ref="L3:L8" si="1">E3*K3*M3/G3</f>
        <v>24.62</v>
      </c>
      <c r="M3" s="154">
        <v>0.1</v>
      </c>
      <c r="N3" s="153"/>
      <c r="O3" s="153"/>
    </row>
    <row r="4" spans="1:15" ht="51" x14ac:dyDescent="0.2">
      <c r="A4" s="133">
        <v>2</v>
      </c>
      <c r="B4" s="130" t="s">
        <v>319</v>
      </c>
      <c r="C4" s="142" t="s">
        <v>284</v>
      </c>
      <c r="D4" s="130" t="s">
        <v>231</v>
      </c>
      <c r="E4" s="130">
        <v>2</v>
      </c>
      <c r="F4" s="151" t="s">
        <v>311</v>
      </c>
      <c r="G4" s="151">
        <v>12</v>
      </c>
      <c r="H4" s="131">
        <v>869</v>
      </c>
      <c r="I4" s="131">
        <v>620</v>
      </c>
      <c r="J4" s="131">
        <v>680</v>
      </c>
      <c r="K4" s="258">
        <f t="shared" si="0"/>
        <v>620</v>
      </c>
      <c r="L4" s="260">
        <f t="shared" si="1"/>
        <v>10.33</v>
      </c>
      <c r="M4" s="154">
        <v>0.1</v>
      </c>
      <c r="O4" s="153"/>
    </row>
    <row r="5" spans="1:15" ht="76.5" x14ac:dyDescent="0.2">
      <c r="A5" s="133">
        <v>3</v>
      </c>
      <c r="B5" s="133" t="s">
        <v>309</v>
      </c>
      <c r="C5" s="142" t="s">
        <v>304</v>
      </c>
      <c r="D5" s="130" t="s">
        <v>231</v>
      </c>
      <c r="E5" s="130">
        <v>6</v>
      </c>
      <c r="F5" s="151" t="s">
        <v>311</v>
      </c>
      <c r="G5" s="151">
        <v>12</v>
      </c>
      <c r="H5" s="131">
        <v>499</v>
      </c>
      <c r="I5" s="131">
        <v>986.48</v>
      </c>
      <c r="J5" s="131">
        <v>1805</v>
      </c>
      <c r="K5" s="258">
        <f t="shared" si="0"/>
        <v>499</v>
      </c>
      <c r="L5" s="260">
        <f t="shared" si="1"/>
        <v>24.95</v>
      </c>
      <c r="M5" s="154">
        <v>0.1</v>
      </c>
    </row>
    <row r="6" spans="1:15" ht="51" x14ac:dyDescent="0.2">
      <c r="A6" s="133">
        <v>4</v>
      </c>
      <c r="B6" s="133" t="s">
        <v>295</v>
      </c>
      <c r="C6" s="142" t="s">
        <v>283</v>
      </c>
      <c r="D6" s="130" t="s">
        <v>246</v>
      </c>
      <c r="E6" s="130">
        <v>3</v>
      </c>
      <c r="F6" s="151" t="s">
        <v>311</v>
      </c>
      <c r="G6" s="151">
        <v>12</v>
      </c>
      <c r="H6" s="131">
        <v>89.9</v>
      </c>
      <c r="I6" s="131">
        <v>100</v>
      </c>
      <c r="J6" s="131">
        <v>109.9</v>
      </c>
      <c r="K6" s="258">
        <f t="shared" si="0"/>
        <v>89.9</v>
      </c>
      <c r="L6" s="260">
        <f t="shared" si="1"/>
        <v>2.25</v>
      </c>
      <c r="M6" s="154">
        <v>0.1</v>
      </c>
      <c r="O6" s="153"/>
    </row>
    <row r="7" spans="1:15" ht="114.75" x14ac:dyDescent="0.2">
      <c r="A7" s="133">
        <v>5</v>
      </c>
      <c r="B7" s="133" t="s">
        <v>295</v>
      </c>
      <c r="C7" s="142" t="s">
        <v>303</v>
      </c>
      <c r="D7" s="130" t="s">
        <v>246</v>
      </c>
      <c r="E7" s="130">
        <v>4</v>
      </c>
      <c r="F7" s="151" t="s">
        <v>311</v>
      </c>
      <c r="G7" s="151">
        <v>12</v>
      </c>
      <c r="H7" s="131">
        <v>1465.67</v>
      </c>
      <c r="I7" s="131">
        <v>2068.84</v>
      </c>
      <c r="J7" s="131">
        <v>2190</v>
      </c>
      <c r="K7" s="258">
        <f t="shared" si="0"/>
        <v>1465.67</v>
      </c>
      <c r="L7" s="260">
        <f t="shared" si="1"/>
        <v>48.86</v>
      </c>
      <c r="M7" s="154">
        <v>0.1</v>
      </c>
    </row>
    <row r="8" spans="1:15" ht="140.25" x14ac:dyDescent="0.2">
      <c r="A8" s="133">
        <v>7</v>
      </c>
      <c r="B8" s="133" t="s">
        <v>310</v>
      </c>
      <c r="C8" s="144" t="s">
        <v>320</v>
      </c>
      <c r="D8" s="137" t="s">
        <v>231</v>
      </c>
      <c r="E8" s="137">
        <v>2</v>
      </c>
      <c r="F8" s="151" t="s">
        <v>311</v>
      </c>
      <c r="G8" s="151">
        <v>12</v>
      </c>
      <c r="H8" s="138">
        <v>1799</v>
      </c>
      <c r="I8" s="138">
        <v>1799</v>
      </c>
      <c r="J8" s="138">
        <v>2366</v>
      </c>
      <c r="K8" s="258">
        <f t="shared" si="0"/>
        <v>1799</v>
      </c>
      <c r="L8" s="260">
        <f t="shared" si="1"/>
        <v>59.97</v>
      </c>
      <c r="M8" s="154">
        <v>0.2</v>
      </c>
    </row>
    <row r="9" spans="1:15" x14ac:dyDescent="0.2">
      <c r="L9" s="153"/>
    </row>
    <row r="10" spans="1:15" ht="15.75" x14ac:dyDescent="0.2">
      <c r="C10" s="253" t="s">
        <v>313</v>
      </c>
      <c r="D10" s="254"/>
      <c r="E10" s="254"/>
      <c r="F10" s="254"/>
      <c r="G10" s="255"/>
    </row>
    <row r="11" spans="1:15" ht="38.25" x14ac:dyDescent="0.2">
      <c r="C11" s="146" t="s">
        <v>317</v>
      </c>
      <c r="D11" s="125" t="s">
        <v>314</v>
      </c>
      <c r="E11" s="125" t="s">
        <v>316</v>
      </c>
      <c r="F11" s="157" t="s">
        <v>315</v>
      </c>
      <c r="G11" s="156" t="s">
        <v>323</v>
      </c>
      <c r="H11" s="127"/>
    </row>
    <row r="12" spans="1:15" x14ac:dyDescent="0.2">
      <c r="C12" s="146" t="s">
        <v>295</v>
      </c>
      <c r="D12" s="147">
        <f>SUMIF($B$3:$B$8,C12,$L$3:$L$8)</f>
        <v>75.73</v>
      </c>
      <c r="E12" s="125">
        <v>3</v>
      </c>
      <c r="F12" s="158">
        <f>D12/E12</f>
        <v>25.24</v>
      </c>
      <c r="G12" s="159">
        <f>F12+F15</f>
        <v>26.18</v>
      </c>
      <c r="H12" s="127"/>
    </row>
    <row r="13" spans="1:15" x14ac:dyDescent="0.2">
      <c r="C13" s="146" t="s">
        <v>309</v>
      </c>
      <c r="D13" s="147">
        <f>SUMIF($B$3:$B$8,C13,$L$3:$L$8)</f>
        <v>24.95</v>
      </c>
      <c r="E13" s="125">
        <v>7</v>
      </c>
      <c r="F13" s="158">
        <f>D13/E13</f>
        <v>3.56</v>
      </c>
      <c r="G13" s="159">
        <f>F13+F15</f>
        <v>4.5</v>
      </c>
      <c r="H13" s="127"/>
    </row>
    <row r="14" spans="1:15" x14ac:dyDescent="0.2">
      <c r="C14" s="146" t="s">
        <v>310</v>
      </c>
      <c r="D14" s="147">
        <f>SUMIF($B$3:$B$8,C14,$L$3:$L$8)</f>
        <v>59.97</v>
      </c>
      <c r="E14" s="125">
        <v>1</v>
      </c>
      <c r="F14" s="158">
        <f>D14/E14</f>
        <v>59.97</v>
      </c>
      <c r="G14" s="159">
        <f>F14+F15</f>
        <v>60.91</v>
      </c>
      <c r="H14" s="127"/>
    </row>
    <row r="15" spans="1:15" ht="33.75" customHeight="1" x14ac:dyDescent="0.2">
      <c r="C15" s="146" t="s">
        <v>319</v>
      </c>
      <c r="D15" s="147">
        <f>SUMIF($B$3:$B$8,C15,$L$3:$L$8)</f>
        <v>10.33</v>
      </c>
      <c r="E15" s="141">
        <v>11</v>
      </c>
      <c r="F15" s="158">
        <f>D15/E15</f>
        <v>0.94</v>
      </c>
      <c r="G15" s="156" t="s">
        <v>324</v>
      </c>
      <c r="H15" s="127"/>
    </row>
  </sheetData>
  <mergeCells count="2">
    <mergeCell ref="H1:J1"/>
    <mergeCell ref="C10:G1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123</vt:i4>
      </vt:variant>
    </vt:vector>
  </HeadingPairs>
  <TitlesOfParts>
    <vt:vector size="130" baseType="lpstr">
      <vt:lpstr>INSERÇÃO-DE-DADOS</vt:lpstr>
      <vt:lpstr>DADOS-ESTATISTICOS</vt:lpstr>
      <vt:lpstr>ENCARGOS-SOCIAIS-E-TRABALHISTAS</vt:lpstr>
      <vt:lpstr>POSTO 12x36 HORAS OU 44 HORAS</vt:lpstr>
      <vt:lpstr>Uniforme</vt:lpstr>
      <vt:lpstr>Materiais</vt:lpstr>
      <vt:lpstr>Equipamentos</vt:lpstr>
      <vt:lpstr>ACORDO_COLETIVO</vt:lpstr>
      <vt:lpstr>'POSTO 12x36 HORAS OU 44 HORAS'!AL_1_A_SAL_BASE</vt:lpstr>
      <vt:lpstr>'POSTO 12x36 HORAS OU 44 HORAS'!AL_1_B_ADIC_PERIC</vt:lpstr>
      <vt:lpstr>'POSTO 12x36 HORAS OU 44 HORAS'!AL_1_C_ADIC_NOT</vt:lpstr>
      <vt:lpstr>'POSTO 12x36 HORAS OU 44 HORAS'!AL_1_D_ADIC_NOT_RED</vt:lpstr>
      <vt:lpstr>'POSTO 12x36 HORAS OU 44 HORAS'!AL_2_1_A_DEC_TERC</vt:lpstr>
      <vt:lpstr>'POSTO 12x36 HORAS OU 44 HORAS'!AL_2_1_B_ADIC_FERIAS</vt:lpstr>
      <vt:lpstr>'POSTO 12x36 HORAS OU 44 HORAS'!AL_2_2_FGTS</vt:lpstr>
      <vt:lpstr>'POSTO 12x36 HORAS OU 44 HORAS'!AL_2_3_A_TRANSP</vt:lpstr>
      <vt:lpstr>'POSTO 12x36 HORAS OU 44 HORAS'!AL_2_3_B_AUX_ALIMENT</vt:lpstr>
      <vt:lpstr>'POSTO 12x36 HORAS OU 44 HORAS'!AL_2_3_C_OUTROS_BENEF</vt:lpstr>
      <vt:lpstr>'POSTO 12x36 HORAS OU 44 HORAS'!AL_2_A_ATE_2_G_GPS</vt:lpstr>
      <vt:lpstr>'POSTO 12x36 HORAS OU 44 HORAS'!AL_6_A_CUSTOS_INDIRETOS</vt:lpstr>
      <vt:lpstr>'POSTO 12x36 HORAS OU 44 HORAS'!AL_6_B_LUCRO</vt:lpstr>
      <vt:lpstr>'POSTO 12x36 HORAS OU 44 HORAS'!AL_6_C_1_PIS</vt:lpstr>
      <vt:lpstr>'POSTO 12x36 HORAS OU 44 HORAS'!AL_6_C_2_COFINS</vt:lpstr>
      <vt:lpstr>'POSTO 12x36 HORAS OU 44 HORAS'!AL_6_C_3_ISS</vt:lpstr>
      <vt:lpstr>'POSTO 12x36 HORAS OU 44 HORAS'!AL_6_C_TRIBUTOS</vt:lpstr>
      <vt:lpstr>ALIMENTACAO_POR_DIA</vt:lpstr>
      <vt:lpstr>CATEGORIA_PROFISSIONAL</vt:lpstr>
      <vt:lpstr>CBO</vt:lpstr>
      <vt:lpstr>DATA_APRESENTACAO_PROPOSTA</vt:lpstr>
      <vt:lpstr>DATA_BASE_CATEGORIA</vt:lpstr>
      <vt:lpstr>DATA_DO_ORCAMENTO_ESTIMATIVO</vt:lpstr>
      <vt:lpstr>DATA_LICITACAO</vt:lpstr>
      <vt:lpstr>DIAS_AUSENCIAS_LEGAIS</vt:lpstr>
      <vt:lpstr>DIAS_LICENCA_MATERNIDADE</vt:lpstr>
      <vt:lpstr>DIAS_LICENCA_PATERNIDADE</vt:lpstr>
      <vt:lpstr>DIAS_NA_SEMANA</vt:lpstr>
      <vt:lpstr>DIAS_NO_ANO</vt:lpstr>
      <vt:lpstr>DIAS_NO_MES</vt:lpstr>
      <vt:lpstr>DIAS_PAGOS_EMPRESA_ACID_TRAB</vt:lpstr>
      <vt:lpstr>DIAS_TRABALHADOS_NO_MES</vt:lpstr>
      <vt:lpstr>DIVISOR_DE_HORAS</vt:lpstr>
      <vt:lpstr>EMPREG_POR_POSTO</vt:lpstr>
      <vt:lpstr>EQUIPAMENTOS</vt:lpstr>
      <vt:lpstr>HORA_NORMAL</vt:lpstr>
      <vt:lpstr>HORA_NOTURNA</vt:lpstr>
      <vt:lpstr>HORARIO_LICITACAO</vt:lpstr>
      <vt:lpstr>LOCAL_DE_EXECUCAO</vt:lpstr>
      <vt:lpstr>MATERIAIS</vt:lpstr>
      <vt:lpstr>MEDIA_ANUAL_DIAS_TRABALHO_MES</vt:lpstr>
      <vt:lpstr>MESES_NO_ANO</vt:lpstr>
      <vt:lpstr>'POSTO 12x36 HORAS OU 44 HORAS'!MOD_1_REMUNERACAO</vt:lpstr>
      <vt:lpstr>'POSTO 12x36 HORAS OU 44 HORAS'!MOD_3_PROVISAO_RESCISAO</vt:lpstr>
      <vt:lpstr>'POSTO 12x36 HORAS OU 44 HORAS'!MOD_5_INSUMOS</vt:lpstr>
      <vt:lpstr>'POSTO 12x36 HORAS OU 44 HORAS'!MOD_6_CUSTOS_IND_LUCRO_TRIB</vt:lpstr>
      <vt:lpstr>MODALIDADE_DE_LICITACAO</vt:lpstr>
      <vt:lpstr>NUMERO_MESES_EXEC_CONTRATUAL</vt:lpstr>
      <vt:lpstr>NUMERO_PREGAO</vt:lpstr>
      <vt:lpstr>NUMERO_PROCESSO</vt:lpstr>
      <vt:lpstr>OUTRAS_AUSENCIAS</vt:lpstr>
      <vt:lpstr>OUTRAS_AUSENCIAS_DESCRICAO</vt:lpstr>
      <vt:lpstr>OUTROS_BENEFICIOS_1</vt:lpstr>
      <vt:lpstr>OUTROS_BENEFICIOS_1_DESCRICAO</vt:lpstr>
      <vt:lpstr>OUTROS_BENEFICIOS_2</vt:lpstr>
      <vt:lpstr>OUTROS_BENEFICIOS_2_DESCRICAO</vt:lpstr>
      <vt:lpstr>OUTROS_BENEFICIOS_3</vt:lpstr>
      <vt:lpstr>OUTROS_BENEFICIOS_3_DESCRICAO</vt:lpstr>
      <vt:lpstr>OUTROS_INSUMOS</vt:lpstr>
      <vt:lpstr>OUTROS_INSUMOS_DESCRICAO</vt:lpstr>
      <vt:lpstr>OUTROS_REMUNERACAO_1</vt:lpstr>
      <vt:lpstr>OUTROS_REMUNERACAO_1_DESCRICAO</vt:lpstr>
      <vt:lpstr>OUTROS_REMUNERACAO_2</vt:lpstr>
      <vt:lpstr>OUTROS_REMUNERACAO_2_DESCRICAO</vt:lpstr>
      <vt:lpstr>OUTROS_REMUNERACAO_3</vt:lpstr>
      <vt:lpstr>OUTROS_REMUNERACAO_3_DESCRICAO</vt:lpstr>
      <vt:lpstr>PERC_ADIC_FERIAS</vt:lpstr>
      <vt:lpstr>PERC_ADIC_INS</vt:lpstr>
      <vt:lpstr>PERC_ADIC_NOT</vt:lpstr>
      <vt:lpstr>PERC_ADIC_PERIC</vt:lpstr>
      <vt:lpstr>PERC_AVISO_PREVIO_IND</vt:lpstr>
      <vt:lpstr>PERC_AVISO_PREVIO_TRAB</vt:lpstr>
      <vt:lpstr>PERC_COFINS</vt:lpstr>
      <vt:lpstr>PERC_CUSTOS_INDIRETOS</vt:lpstr>
      <vt:lpstr>PERC_DEC_TERC</vt:lpstr>
      <vt:lpstr>PERC_DESC_TRANSP_REMUNERACAO</vt:lpstr>
      <vt:lpstr>PERC_EMPREG_AFAST_TRAB</vt:lpstr>
      <vt:lpstr>PERC_EMPREG_AVISO_PREVIO_IND</vt:lpstr>
      <vt:lpstr>PERC_EMPREG_AVISO_PREVIO_TRAB</vt:lpstr>
      <vt:lpstr>PERC_EMPREG_DEMIT_SEM_JUSTA_CAUSA_TOTAL_DESLIG</vt:lpstr>
      <vt:lpstr>PERC_FGTS</vt:lpstr>
      <vt:lpstr>PERC_GPS_FGTS</vt:lpstr>
      <vt:lpstr>PERC_HORA_EXTRA</vt:lpstr>
      <vt:lpstr>PERC_INCRA</vt:lpstr>
      <vt:lpstr>PERC_INSS</vt:lpstr>
      <vt:lpstr>PERC_ISS</vt:lpstr>
      <vt:lpstr>PERC_LUCRO</vt:lpstr>
      <vt:lpstr>'POSTO 12x36 HORAS OU 44 HORAS'!PERC_MOD_3_PROVISAO_RESCISAO</vt:lpstr>
      <vt:lpstr>PERC_MULTA_FGTS</vt:lpstr>
      <vt:lpstr>PERC_MULTA_FGTS_AV_PREV_TRAB</vt:lpstr>
      <vt:lpstr>PERC_NASCIDOS_VIVOS_POPUL_FEM</vt:lpstr>
      <vt:lpstr>PERC_PARTIC_FEM_VIGIL</vt:lpstr>
      <vt:lpstr>PERC_PARTIC_MASC_VIGIL</vt:lpstr>
      <vt:lpstr>PERC_PIS</vt:lpstr>
      <vt:lpstr>PERC_RAT</vt:lpstr>
      <vt:lpstr>PERC_SAL_EDUCACAO</vt:lpstr>
      <vt:lpstr>PERC_SEBRAE</vt:lpstr>
      <vt:lpstr>PERC_SENAC</vt:lpstr>
      <vt:lpstr>PERC_SESC</vt:lpstr>
      <vt:lpstr>PERC_SUBSTITUTO_ACID_TRAB</vt:lpstr>
      <vt:lpstr>PERC_SUBSTITUTO_AFAST_MATERN</vt:lpstr>
      <vt:lpstr>PERC_SUBSTITUTO_AUSENCIAS_LEGAIS</vt:lpstr>
      <vt:lpstr>PERC_SUBSTITUTO_FERIAS</vt:lpstr>
      <vt:lpstr>PERC_SUBSTITUTO_LICENCA_PATERNIDADE</vt:lpstr>
      <vt:lpstr>PERC_SUBSTITUTO_OUTRAS_AUSENCIAS</vt:lpstr>
      <vt:lpstr>'POSTO 12x36 HORAS OU 44 HORAS'!PERC_TRIBUTOS</vt:lpstr>
      <vt:lpstr>'POSTO 12x36 HORAS OU 44 HORAS'!QTDE_POSTOS</vt:lpstr>
      <vt:lpstr>RAMO</vt:lpstr>
      <vt:lpstr>SAL_MINIMO</vt:lpstr>
      <vt:lpstr>SALARIO_BASE</vt:lpstr>
      <vt:lpstr>'POSTO 12x36 HORAS OU 44 HORAS'!SUBMOD_2_1_DEC_TERC_ADIC_FERIAS</vt:lpstr>
      <vt:lpstr>'POSTO 12x36 HORAS OU 44 HORAS'!SUBMOD_2_2_GPS_FGTS</vt:lpstr>
      <vt:lpstr>'POSTO 12x36 HORAS OU 44 HORAS'!SUBMOD_2_3_BENEFICIOS</vt:lpstr>
      <vt:lpstr>'POSTO 12x36 HORAS OU 44 HORAS'!SUBMOD_4_1_SUBSTITUTO</vt:lpstr>
      <vt:lpstr>'POSTO 12x36 HORAS OU 44 HORAS'!SUBMOD_4_2_INTRAJORNADA</vt:lpstr>
      <vt:lpstr>TEMPO_INTERVALO_REFEICAO</vt:lpstr>
      <vt:lpstr>TIPO_DE_SERVICO</vt:lpstr>
      <vt:lpstr>TRANSPORTE_POR_DIA</vt:lpstr>
      <vt:lpstr>UG</vt:lpstr>
      <vt:lpstr>UNIFORMES</vt:lpstr>
      <vt:lpstr>'POSTO 12x36 HORAS OU 44 HORAS'!VALOR_TOTAL_EMPREGADO</vt:lpstr>
      <vt:lpstr>'POSTO 12x36 HORAS OU 44 HORAS'!VALOR_TOTAL_POSTO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Felipe Flores da Silva</dc:creator>
  <cp:lastModifiedBy>Administrador</cp:lastModifiedBy>
  <cp:lastPrinted>2019-08-28T14:06:04Z</cp:lastPrinted>
  <dcterms:created xsi:type="dcterms:W3CDTF">2014-02-07T18:14:59Z</dcterms:created>
  <dcterms:modified xsi:type="dcterms:W3CDTF">2020-10-27T23:21:03Z</dcterms:modified>
</cp:coreProperties>
</file>