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AD\CPL_CONFIDENCIAL\EDITAIS DE LICITAÇÃO CNMP\2020\PREGÃO ELETRÔNICO 01 - 2020 - SERVIÇO DE MOTORISTAS TERCEIRIZADOS\"/>
    </mc:Choice>
  </mc:AlternateContent>
  <bookViews>
    <workbookView xWindow="0" yWindow="0" windowWidth="12405" windowHeight="11175" tabRatio="899" activeTab="3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71027" fullPrecision="0"/>
  <customWorkbookViews>
    <customWorkbookView name="teste" guid="{E22B0E03-E710-4313-B9E5-0BFE52A7E677}" maximized="1" xWindow="-8" yWindow="-8" windowWidth="1936" windowHeight="1056" tabRatio="899" activeSheetId="2"/>
  </customWorkbookViews>
</workbook>
</file>

<file path=xl/calcChain.xml><?xml version="1.0" encoding="utf-8"?>
<calcChain xmlns="http://schemas.openxmlformats.org/spreadsheetml/2006/main">
  <c r="F50" i="14" l="1"/>
  <c r="F40" i="15" l="1"/>
  <c r="F12" i="14" l="1"/>
  <c r="F32" i="15" l="1"/>
  <c r="F19" i="14" l="1"/>
  <c r="D16" i="14"/>
  <c r="D15" i="14"/>
  <c r="E14" i="14"/>
  <c r="D9" i="14"/>
  <c r="F2" i="14" l="1"/>
  <c r="E34" i="12" l="1"/>
  <c r="C34" i="12"/>
  <c r="F26" i="14" l="1"/>
  <c r="E96" i="14" l="1"/>
  <c r="E95" i="14"/>
  <c r="E94" i="14"/>
  <c r="E92" i="14"/>
  <c r="E91" i="14"/>
  <c r="F86" i="14"/>
  <c r="C86" i="14"/>
  <c r="F85" i="14"/>
  <c r="F84" i="14"/>
  <c r="F83" i="14"/>
  <c r="E74" i="14"/>
  <c r="C74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3" i="14" l="1"/>
  <c r="F55" i="14"/>
  <c r="F24" i="14"/>
  <c r="F87" i="14"/>
  <c r="F104" i="14" s="1"/>
  <c r="F25" i="14"/>
  <c r="F30" i="14" l="1"/>
  <c r="F100" i="14" l="1"/>
  <c r="E5" i="12" l="1"/>
  <c r="E6" i="12"/>
  <c r="E20" i="12"/>
  <c r="E23" i="12"/>
  <c r="E29" i="12"/>
  <c r="E30" i="12"/>
  <c r="E31" i="12"/>
  <c r="E32" i="12"/>
  <c r="E69" i="11"/>
  <c r="E70" i="11"/>
  <c r="E71" i="11"/>
  <c r="E72" i="14" l="1"/>
  <c r="E61" i="14"/>
  <c r="E70" i="14"/>
  <c r="E58" i="14"/>
  <c r="E71" i="14"/>
  <c r="E35" i="14"/>
  <c r="F35" i="14"/>
  <c r="E69" i="14"/>
  <c r="E34" i="14"/>
  <c r="F34" i="14"/>
  <c r="F36" i="14" l="1"/>
  <c r="F42" i="14" s="1"/>
  <c r="F40" i="14" l="1"/>
  <c r="F43" i="14"/>
  <c r="F44" i="14"/>
  <c r="F45" i="14"/>
  <c r="F39" i="14"/>
  <c r="F41" i="14"/>
  <c r="F78" i="14" l="1"/>
  <c r="F79" i="14" s="1"/>
  <c r="E46" i="14" l="1"/>
  <c r="E22" i="12"/>
  <c r="E60" i="14" s="1"/>
  <c r="E25" i="12"/>
  <c r="F63" i="14" s="1"/>
  <c r="E17" i="12"/>
  <c r="E24" i="12" s="1"/>
  <c r="E21" i="12"/>
  <c r="E59" i="14" s="1"/>
  <c r="F46" i="14"/>
  <c r="F47" i="14" s="1"/>
  <c r="E33" i="12" l="1"/>
  <c r="E73" i="14" s="1"/>
  <c r="F59" i="14"/>
  <c r="F60" i="14"/>
  <c r="E62" i="14"/>
  <c r="F62" i="14"/>
  <c r="F101" i="14"/>
  <c r="F61" i="14"/>
  <c r="F58" i="14"/>
  <c r="E63" i="14"/>
  <c r="F64" i="14" l="1"/>
  <c r="F102" i="14" s="1"/>
  <c r="F73" i="14" l="1"/>
  <c r="F74" i="14"/>
  <c r="F69" i="14"/>
  <c r="F72" i="14"/>
  <c r="F71" i="14"/>
  <c r="F70" i="14"/>
  <c r="F75" i="14" l="1"/>
  <c r="F103" i="14" s="1"/>
  <c r="F91" i="14" l="1"/>
  <c r="F92" i="14" s="1"/>
  <c r="F94" i="14" s="1"/>
  <c r="F96" i="14" l="1"/>
  <c r="F95" i="14"/>
  <c r="F93" i="14" l="1"/>
  <c r="F97" i="14" s="1"/>
  <c r="F105" i="14" s="1"/>
  <c r="F106" i="14" s="1"/>
  <c r="F107" i="14" s="1"/>
  <c r="F108" i="14" l="1"/>
  <c r="F39" i="15" l="1"/>
</calcChain>
</file>

<file path=xl/sharedStrings.xml><?xml version="1.0" encoding="utf-8"?>
<sst xmlns="http://schemas.openxmlformats.org/spreadsheetml/2006/main" count="440" uniqueCount="197">
  <si>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</si>
  <si>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</si>
  <si>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</si>
  <si>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</si>
  <si>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</si>
  <si>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</si>
  <si>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</si>
  <si>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</si>
  <si>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</si>
  <si>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</si>
  <si>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</si>
  <si>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</si>
  <si>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</si>
  <si>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</si>
  <si>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</si>
  <si>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</si>
  <si>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</si>
  <si>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</si>
  <si>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</si>
  <si>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</si>
  <si>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</si>
  <si>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</si>
  <si>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</si>
  <si>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</si>
  <si>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</si>
  <si>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</si>
  <si>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</si>
  <si>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</si>
  <si>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</si>
  <si>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</si>
  <si>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</si>
  <si>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</si>
  <si>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</si>
  <si>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</si>
  <si>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</si>
  <si>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</si>
  <si>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</si>
  <si>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</si>
  <si>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</si>
  <si>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</si>
  <si>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</si>
  <si>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</si>
  <si>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</si>
  <si>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</si>
  <si>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</si>
  <si>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</si>
  <si>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</si>
  <si>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Incidência do FGTS sobre o 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</si>
  <si>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</si>
  <si>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</si>
  <si>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</si>
  <si>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</si>
  <si>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</si>
  <si>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</si>
  <si>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</si>
  <si>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</si>
  <si>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</si>
  <si>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</si>
  <si>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</si>
  <si>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</si>
  <si>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</si>
  <si>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</si>
  <si>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</si>
  <si>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</si>
  <si>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</si>
  <si>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</si>
  <si>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</si>
  <si>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Multa do FGTS e Contribuição Social sobre o Aviso Prévio Indenizado</t>
  </si>
  <si>
    <t>Multa do FGTS e Contribuição Social sobre o Aviso Prévio Trabalhado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</si>
  <si>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</si>
  <si>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</si>
  <si>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</si>
  <si>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</si>
  <si>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</si>
  <si>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</si>
  <si>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</si>
  <si>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</si>
  <si>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</si>
  <si>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</si>
  <si>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</si>
  <si>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</si>
  <si>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</si>
  <si>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</si>
  <si>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</si>
  <si>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</si>
  <si>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</si>
  <si>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</si>
  <si>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</si>
  <si>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</si>
  <si>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</si>
  <si>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</si>
  <si>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</si>
  <si>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</si>
  <si>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</si>
  <si>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</si>
  <si>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</si>
  <si>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</si>
  <si>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</si>
  <si>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</si>
  <si>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</si>
  <si>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</si>
  <si>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</si>
  <si>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</si>
  <si>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</si>
  <si>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</si>
  <si>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</si>
  <si>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</si>
  <si>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Incidência de GPS, FGTS e Outras Contribuições sobre Aviso Prévio Trabalhado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</si>
  <si>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</si>
  <si>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</si>
  <si>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</si>
  <si>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</si>
  <si>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</si>
  <si>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</si>
  <si>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</si>
  <si>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</si>
  <si>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</si>
  <si>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</si>
  <si>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</si>
  <si>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</si>
  <si>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</si>
  <si>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</si>
  <si>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</si>
  <si>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</si>
  <si>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</si>
  <si>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</si>
  <si>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</si>
  <si>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</si>
  <si>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</si>
  <si>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</si>
  <si>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</si>
  <si>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</si>
  <si>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</si>
  <si>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</si>
  <si>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</si>
  <si>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</si>
  <si>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</si>
  <si>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</si>
  <si>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</si>
  <si>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</si>
  <si>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</si>
  <si>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</si>
  <si>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</si>
  <si>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</si>
  <si>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</si>
  <si>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</si>
  <si>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</si>
  <si>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</si>
  <si>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</si>
  <si>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</si>
  <si>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</si>
  <si>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RAMO:</t>
  </si>
  <si>
    <t>UNIDADE GESTORA (SIGLA):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</si>
  <si>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</si>
  <si>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</si>
  <si>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</si>
  <si>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</si>
  <si>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</si>
  <si>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</si>
  <si>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</si>
  <si>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</si>
  <si>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</si>
  <si>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</si>
  <si>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</si>
  <si>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</si>
  <si>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</si>
  <si>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</si>
  <si>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</si>
  <si>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</si>
  <si>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</si>
  <si>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</si>
  <si>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</si>
  <si>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>(8,00% x 0,29%) x 100</t>
  </si>
  <si>
    <t>[(0,29%) x (40% + 10%) x 8,00%] x 100</t>
  </si>
  <si>
    <t>(36,80% x 1,16%) x 100</t>
  </si>
  <si>
    <t>[(1,16%) x (40% + 10%) x 8,00%)]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</si>
  <si>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</si>
  <si>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</si>
  <si>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</si>
  <si>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</si>
  <si>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</si>
  <si>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</si>
  <si>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</si>
  <si>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</si>
  <si>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</si>
  <si>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</si>
  <si>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</si>
  <si>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</si>
  <si>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</si>
  <si>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</si>
  <si>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</si>
  <si>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</si>
  <si>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</si>
  <si>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X19.00.6180.0003028/2019-70</t>
  </si>
  <si>
    <t>/20XX</t>
  </si>
  <si>
    <t>Auxílio Funeral/seguro de vida</t>
  </si>
  <si>
    <t>MOTORISTA VEÍCULOS PESADOS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</si>
</sst>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Alignment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C19" sqref="C19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151</v>
      </c>
      <c r="C1" s="121"/>
      <c r="D1" s="121"/>
      <c r="E1" s="121"/>
      <c r="F1" s="122"/>
    </row>
    <row r="2" spans="1:6" ht="20.25" x14ac:dyDescent="0.35">
      <c r="B2" s="120" t="s">
        <v>152</v>
      </c>
      <c r="C2" s="121"/>
      <c r="D2" s="122"/>
      <c r="E2" s="107" t="s">
        <v>52</v>
      </c>
      <c r="F2" s="72" t="s">
        <v>153</v>
      </c>
    </row>
    <row r="3" spans="1:6" x14ac:dyDescent="0.3">
      <c r="B3" s="81"/>
      <c r="C3" s="81"/>
      <c r="D3" s="81"/>
      <c r="E3" s="81"/>
      <c r="F3" s="81"/>
    </row>
    <row r="4" spans="1:6" s="81" customFormat="1" ht="25.5" x14ac:dyDescent="0.5">
      <c r="B4" s="123" t="s">
        <v>164</v>
      </c>
      <c r="C4" s="123"/>
      <c r="D4" s="123"/>
      <c r="E4" s="123"/>
      <c r="F4" s="123"/>
    </row>
    <row r="5" spans="1:6" s="81" customFormat="1" ht="15.95" customHeight="1" x14ac:dyDescent="0.3">
      <c r="B5" s="112" t="s">
        <v>94</v>
      </c>
      <c r="C5" s="112"/>
      <c r="D5" s="112"/>
      <c r="E5" s="112"/>
      <c r="F5" s="112"/>
    </row>
    <row r="6" spans="1:6" s="81" customFormat="1" ht="15.95" customHeight="1" x14ac:dyDescent="0.3">
      <c r="B6" s="115" t="s">
        <v>30</v>
      </c>
      <c r="C6" s="115"/>
      <c r="D6" s="124" t="s">
        <v>193</v>
      </c>
      <c r="E6" s="124"/>
      <c r="F6" s="124"/>
    </row>
    <row r="7" spans="1:6" s="81" customFormat="1" ht="15.75" customHeight="1" x14ac:dyDescent="0.3">
      <c r="B7" s="113" t="s">
        <v>31</v>
      </c>
      <c r="C7" s="113"/>
      <c r="D7" s="114" t="s">
        <v>32</v>
      </c>
      <c r="E7" s="114"/>
      <c r="F7" s="18" t="s">
        <v>154</v>
      </c>
    </row>
    <row r="8" spans="1:6" s="81" customFormat="1" ht="15.75" customHeight="1" x14ac:dyDescent="0.3">
      <c r="B8" s="115" t="s">
        <v>110</v>
      </c>
      <c r="C8" s="115"/>
      <c r="D8" s="110" t="s">
        <v>153</v>
      </c>
      <c r="E8" s="111"/>
      <c r="F8" s="18" t="s">
        <v>155</v>
      </c>
    </row>
    <row r="9" spans="1:6" s="82" customFormat="1" ht="9.75" customHeight="1" x14ac:dyDescent="0.3">
      <c r="C9" s="5"/>
      <c r="D9" s="96"/>
      <c r="E9" s="96"/>
      <c r="F9" s="97"/>
    </row>
    <row r="10" spans="1:6" s="82" customFormat="1" ht="15.75" customHeight="1" x14ac:dyDescent="0.3">
      <c r="B10" s="112" t="s">
        <v>109</v>
      </c>
      <c r="C10" s="112"/>
      <c r="D10" s="112"/>
      <c r="E10" s="112"/>
      <c r="F10" s="112"/>
    </row>
    <row r="11" spans="1:6" s="81" customFormat="1" ht="18" customHeight="1" x14ac:dyDescent="0.3">
      <c r="B11" s="19" t="s">
        <v>2</v>
      </c>
      <c r="C11" s="115" t="s">
        <v>58</v>
      </c>
      <c r="D11" s="115"/>
      <c r="E11" s="115"/>
      <c r="F11" s="20" t="s">
        <v>153</v>
      </c>
    </row>
    <row r="12" spans="1:6" s="81" customFormat="1" ht="15.95" customHeight="1" x14ac:dyDescent="0.15">
      <c r="B12" s="1" t="s">
        <v>3</v>
      </c>
      <c r="C12" s="58" t="s">
        <v>33</v>
      </c>
      <c r="D12" s="116"/>
      <c r="E12" s="116"/>
      <c r="F12" s="116"/>
    </row>
    <row r="13" spans="1:6" s="81" customFormat="1" ht="15.95" customHeight="1" x14ac:dyDescent="0.3">
      <c r="B13" s="19" t="s">
        <v>4</v>
      </c>
      <c r="C13" s="115" t="s">
        <v>144</v>
      </c>
      <c r="D13" s="115"/>
      <c r="E13" s="115"/>
      <c r="F13" s="60"/>
    </row>
    <row r="14" spans="1:6" s="81" customFormat="1" ht="18.75" customHeight="1" x14ac:dyDescent="0.3">
      <c r="B14" s="1" t="s">
        <v>5</v>
      </c>
      <c r="C14" s="117" t="s">
        <v>34</v>
      </c>
      <c r="D14" s="118"/>
      <c r="E14" s="119"/>
      <c r="F14" s="18" t="s">
        <v>194</v>
      </c>
    </row>
    <row r="15" spans="1:6" s="81" customFormat="1" ht="15.95" customHeight="1" x14ac:dyDescent="0.3">
      <c r="B15" s="1" t="s">
        <v>6</v>
      </c>
      <c r="C15" s="115" t="s">
        <v>59</v>
      </c>
      <c r="D15" s="115"/>
      <c r="E15" s="115"/>
      <c r="F15" s="86">
        <v>12</v>
      </c>
    </row>
    <row r="16" spans="1:6" s="81" customFormat="1" ht="15.95" customHeight="1" x14ac:dyDescent="0.3">
      <c r="A16" s="82"/>
      <c r="B16" s="82"/>
      <c r="C16" s="5"/>
      <c r="D16" s="96"/>
      <c r="E16" s="96"/>
      <c r="F16" s="97"/>
    </row>
    <row r="17" spans="1:6" s="81" customFormat="1" x14ac:dyDescent="0.3">
      <c r="A17" s="82"/>
      <c r="B17" s="112" t="s">
        <v>111</v>
      </c>
      <c r="C17" s="112"/>
      <c r="D17" s="112"/>
      <c r="E17" s="112"/>
      <c r="F17" s="112"/>
    </row>
    <row r="18" spans="1:6" s="98" customFormat="1" ht="49.5" x14ac:dyDescent="0.2">
      <c r="B18" s="74" t="s">
        <v>145</v>
      </c>
      <c r="C18" s="74" t="s">
        <v>27</v>
      </c>
      <c r="D18" s="57" t="s">
        <v>112</v>
      </c>
      <c r="E18" s="57" t="s">
        <v>165</v>
      </c>
      <c r="F18" s="57" t="s">
        <v>113</v>
      </c>
    </row>
    <row r="19" spans="1:6" s="81" customFormat="1" ht="16.5" customHeight="1" x14ac:dyDescent="0.3">
      <c r="B19" s="19">
        <v>1</v>
      </c>
      <c r="C19" s="106" t="s">
        <v>196</v>
      </c>
      <c r="D19" s="76"/>
      <c r="E19" s="103"/>
      <c r="F19" s="76">
        <v>3</v>
      </c>
    </row>
    <row r="20" spans="1:6" s="81" customFormat="1" ht="15.95" customHeight="1" x14ac:dyDescent="0.3">
      <c r="B20" s="99"/>
      <c r="C20" s="99"/>
      <c r="D20" s="99"/>
      <c r="E20" s="99"/>
      <c r="F20" s="99"/>
    </row>
    <row r="21" spans="1:6" s="81" customFormat="1" ht="15" customHeight="1" x14ac:dyDescent="0.3">
      <c r="B21" s="112" t="s">
        <v>114</v>
      </c>
      <c r="C21" s="112"/>
      <c r="D21" s="112"/>
      <c r="E21" s="112"/>
      <c r="F21" s="112"/>
    </row>
    <row r="22" spans="1:6" s="81" customFormat="1" ht="15" customHeight="1" x14ac:dyDescent="0.3">
      <c r="A22" s="82"/>
      <c r="B22" s="19">
        <v>1</v>
      </c>
      <c r="C22" s="104" t="s">
        <v>54</v>
      </c>
      <c r="D22" s="129"/>
      <c r="E22" s="129"/>
      <c r="F22" s="129"/>
    </row>
    <row r="23" spans="1:6" s="81" customFormat="1" ht="15.95" customHeight="1" x14ac:dyDescent="0.3">
      <c r="B23" s="19">
        <v>2</v>
      </c>
      <c r="C23" s="21" t="s">
        <v>56</v>
      </c>
      <c r="D23" s="129"/>
      <c r="E23" s="129"/>
      <c r="F23" s="129"/>
    </row>
    <row r="24" spans="1:6" s="81" customFormat="1" ht="15.95" customHeight="1" x14ac:dyDescent="0.3">
      <c r="B24" s="19">
        <v>3</v>
      </c>
      <c r="C24" s="125" t="s">
        <v>57</v>
      </c>
      <c r="D24" s="125"/>
      <c r="E24" s="125"/>
      <c r="F24" s="20" t="s">
        <v>153</v>
      </c>
    </row>
    <row r="25" spans="1:6" s="81" customFormat="1" ht="15.95" customHeight="1" x14ac:dyDescent="0.3">
      <c r="B25" s="19">
        <v>4</v>
      </c>
      <c r="C25" s="128" t="s">
        <v>138</v>
      </c>
      <c r="D25" s="128"/>
      <c r="E25" s="128"/>
      <c r="F25" s="59"/>
    </row>
    <row r="26" spans="1:6" s="81" customFormat="1" x14ac:dyDescent="0.3">
      <c r="B26" s="22"/>
      <c r="C26" s="23"/>
      <c r="D26" s="23"/>
      <c r="E26" s="23"/>
      <c r="F26" s="100"/>
    </row>
    <row r="27" spans="1:6" s="81" customFormat="1" ht="25.5" x14ac:dyDescent="0.5">
      <c r="B27" s="101" t="s">
        <v>158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8" t="s">
        <v>9</v>
      </c>
      <c r="D29" s="158"/>
      <c r="E29" s="158"/>
      <c r="F29" s="3" t="s">
        <v>119</v>
      </c>
    </row>
    <row r="30" spans="1:6" x14ac:dyDescent="0.3">
      <c r="B30" s="1" t="s">
        <v>2</v>
      </c>
      <c r="C30" s="151" t="s">
        <v>88</v>
      </c>
      <c r="D30" s="151"/>
      <c r="E30" s="151"/>
      <c r="F30" s="67">
        <v>2475.06</v>
      </c>
    </row>
    <row r="31" spans="1:6" x14ac:dyDescent="0.3">
      <c r="B31" s="1" t="s">
        <v>3</v>
      </c>
      <c r="C31" s="135" t="s">
        <v>78</v>
      </c>
      <c r="D31" s="136"/>
      <c r="E31" s="137"/>
      <c r="F31" s="68"/>
    </row>
    <row r="32" spans="1:6" x14ac:dyDescent="0.3">
      <c r="B32" s="1" t="s">
        <v>4</v>
      </c>
      <c r="C32" s="151" t="s">
        <v>80</v>
      </c>
      <c r="D32" s="151"/>
      <c r="E32" s="151"/>
      <c r="F32" s="68"/>
    </row>
    <row r="33" spans="1:6" x14ac:dyDescent="0.3">
      <c r="B33" s="1" t="s">
        <v>5</v>
      </c>
      <c r="C33" s="155" t="s">
        <v>159</v>
      </c>
      <c r="D33" s="156"/>
      <c r="E33" s="157"/>
      <c r="F33" s="68"/>
    </row>
    <row r="34" spans="1:6" x14ac:dyDescent="0.3">
      <c r="B34" s="1" t="s">
        <v>6</v>
      </c>
      <c r="C34" s="130" t="s">
        <v>146</v>
      </c>
      <c r="D34" s="130"/>
      <c r="E34" s="130"/>
      <c r="F34" s="67"/>
    </row>
    <row r="35" spans="1:6" x14ac:dyDescent="0.3">
      <c r="B35" s="1" t="s">
        <v>7</v>
      </c>
      <c r="C35" s="130" t="s">
        <v>147</v>
      </c>
      <c r="D35" s="130"/>
      <c r="E35" s="130"/>
      <c r="F35" s="67"/>
    </row>
    <row r="36" spans="1:6" x14ac:dyDescent="0.3">
      <c r="B36" s="1" t="s">
        <v>10</v>
      </c>
      <c r="C36" s="130" t="s">
        <v>148</v>
      </c>
      <c r="D36" s="130"/>
      <c r="E36" s="130"/>
      <c r="F36" s="67"/>
    </row>
    <row r="37" spans="1:6" s="91" customFormat="1" x14ac:dyDescent="0.3"/>
    <row r="38" spans="1:6" s="91" customFormat="1" x14ac:dyDescent="0.3">
      <c r="A38" s="7"/>
      <c r="B38" s="45" t="s">
        <v>60</v>
      </c>
      <c r="C38" s="13"/>
      <c r="D38" s="13"/>
      <c r="E38" s="15"/>
      <c r="F38" s="15"/>
    </row>
    <row r="39" spans="1:6" s="91" customFormat="1" x14ac:dyDescent="0.3">
      <c r="A39" s="7"/>
      <c r="B39" s="45" t="s">
        <v>65</v>
      </c>
      <c r="C39" s="82"/>
      <c r="D39" s="82"/>
      <c r="E39" s="82"/>
      <c r="F39" s="82"/>
    </row>
    <row r="40" spans="1:6" s="91" customFormat="1" ht="15" customHeight="1" x14ac:dyDescent="0.3">
      <c r="A40" s="7"/>
      <c r="B40" s="1" t="s">
        <v>87</v>
      </c>
      <c r="C40" s="126" t="s">
        <v>14</v>
      </c>
      <c r="D40" s="127"/>
      <c r="E40" s="3" t="s">
        <v>35</v>
      </c>
      <c r="F40" s="3" t="s">
        <v>120</v>
      </c>
    </row>
    <row r="41" spans="1:6" s="91" customFormat="1" x14ac:dyDescent="0.3">
      <c r="A41" s="7"/>
      <c r="B41" s="75" t="s">
        <v>2</v>
      </c>
      <c r="C41" s="125" t="s">
        <v>15</v>
      </c>
      <c r="D41" s="125"/>
      <c r="E41" s="56" t="s">
        <v>36</v>
      </c>
      <c r="F41" s="27">
        <v>10</v>
      </c>
    </row>
    <row r="42" spans="1:6" s="91" customFormat="1" x14ac:dyDescent="0.3">
      <c r="B42" s="75" t="s">
        <v>3</v>
      </c>
      <c r="C42" s="128" t="s">
        <v>64</v>
      </c>
      <c r="D42" s="128"/>
      <c r="E42" s="24" t="s">
        <v>36</v>
      </c>
      <c r="F42" s="27">
        <v>35</v>
      </c>
    </row>
    <row r="43" spans="1:6" s="91" customFormat="1" x14ac:dyDescent="0.3">
      <c r="B43" s="75" t="s">
        <v>4</v>
      </c>
      <c r="C43" s="125" t="s">
        <v>161</v>
      </c>
      <c r="D43" s="125"/>
      <c r="E43" s="56" t="s">
        <v>141</v>
      </c>
      <c r="F43" s="71">
        <v>22</v>
      </c>
    </row>
    <row r="44" spans="1:6" x14ac:dyDescent="0.3">
      <c r="B44" s="75" t="s">
        <v>5</v>
      </c>
      <c r="C44" s="139" t="s">
        <v>195</v>
      </c>
      <c r="D44" s="140"/>
      <c r="E44" s="73"/>
      <c r="F44" s="67">
        <v>2</v>
      </c>
    </row>
    <row r="45" spans="1:6" x14ac:dyDescent="0.3">
      <c r="B45" s="75" t="s">
        <v>6</v>
      </c>
      <c r="C45" s="139" t="s">
        <v>149</v>
      </c>
      <c r="D45" s="140"/>
      <c r="E45" s="73"/>
      <c r="F45" s="67"/>
    </row>
    <row r="46" spans="1:6" x14ac:dyDescent="0.3">
      <c r="B46" s="75" t="s">
        <v>7</v>
      </c>
      <c r="C46" s="139" t="s">
        <v>150</v>
      </c>
      <c r="D46" s="140"/>
      <c r="E46" s="73"/>
      <c r="F46" s="67"/>
    </row>
    <row r="47" spans="1:6" s="91" customFormat="1" x14ac:dyDescent="0.3"/>
    <row r="48" spans="1:6" s="81" customFormat="1" x14ac:dyDescent="0.3">
      <c r="B48" s="45" t="s">
        <v>69</v>
      </c>
      <c r="C48" s="6"/>
      <c r="D48" s="16"/>
      <c r="E48" s="7"/>
      <c r="F48" s="7"/>
    </row>
    <row r="49" spans="1:6" s="81" customFormat="1" ht="15" customHeight="1" x14ac:dyDescent="0.3">
      <c r="B49" s="45" t="s">
        <v>99</v>
      </c>
      <c r="C49" s="6"/>
      <c r="D49" s="16"/>
      <c r="E49" s="14"/>
      <c r="F49" s="14"/>
    </row>
    <row r="50" spans="1:6" x14ac:dyDescent="0.3">
      <c r="A50" s="81"/>
      <c r="B50" s="1" t="s">
        <v>20</v>
      </c>
      <c r="C50" s="152" t="s">
        <v>100</v>
      </c>
      <c r="D50" s="153"/>
      <c r="E50" s="154"/>
      <c r="F50" s="3" t="s">
        <v>1</v>
      </c>
    </row>
    <row r="51" spans="1:6" s="91" customFormat="1" x14ac:dyDescent="0.3">
      <c r="B51" s="2" t="s">
        <v>2</v>
      </c>
      <c r="C51" s="147" t="s">
        <v>156</v>
      </c>
      <c r="D51" s="148"/>
      <c r="E51" s="149"/>
      <c r="F51" s="69"/>
    </row>
    <row r="52" spans="1:6" x14ac:dyDescent="0.3">
      <c r="B52" s="91"/>
      <c r="C52" s="91"/>
      <c r="D52" s="91"/>
      <c r="E52" s="91"/>
      <c r="F52" s="91"/>
    </row>
    <row r="53" spans="1:6" x14ac:dyDescent="0.3">
      <c r="B53" s="45" t="s">
        <v>189</v>
      </c>
      <c r="C53" s="6"/>
      <c r="D53" s="16"/>
      <c r="E53" s="14"/>
      <c r="F53" s="14"/>
    </row>
    <row r="54" spans="1:6" x14ac:dyDescent="0.3">
      <c r="B54" s="1" t="s">
        <v>21</v>
      </c>
      <c r="C54" s="150" t="s">
        <v>188</v>
      </c>
      <c r="D54" s="150"/>
      <c r="E54" s="150"/>
      <c r="F54" s="3" t="s">
        <v>184</v>
      </c>
    </row>
    <row r="55" spans="1:6" ht="15" customHeight="1" x14ac:dyDescent="0.3">
      <c r="B55" s="1" t="s">
        <v>2</v>
      </c>
      <c r="C55" s="151" t="s">
        <v>124</v>
      </c>
      <c r="D55" s="151"/>
      <c r="E55" s="151"/>
      <c r="F55" s="68"/>
    </row>
    <row r="56" spans="1:6" s="91" customFormat="1" x14ac:dyDescent="0.3">
      <c r="B56" s="1" t="s">
        <v>3</v>
      </c>
      <c r="C56" s="135" t="s">
        <v>134</v>
      </c>
      <c r="D56" s="136"/>
      <c r="E56" s="137"/>
      <c r="F56" s="68"/>
    </row>
    <row r="57" spans="1:6" x14ac:dyDescent="0.3">
      <c r="B57" s="91"/>
      <c r="C57" s="91"/>
      <c r="D57" s="91"/>
      <c r="E57" s="91"/>
      <c r="F57" s="91"/>
    </row>
    <row r="58" spans="1:6" ht="15.75" customHeight="1" x14ac:dyDescent="0.3">
      <c r="B58" s="45" t="s">
        <v>73</v>
      </c>
      <c r="C58" s="6"/>
      <c r="D58" s="6"/>
      <c r="E58" s="14"/>
      <c r="F58" s="14"/>
    </row>
    <row r="59" spans="1:6" x14ac:dyDescent="0.3">
      <c r="B59" s="43">
        <v>5</v>
      </c>
      <c r="C59" s="144" t="s">
        <v>0</v>
      </c>
      <c r="D59" s="144"/>
      <c r="E59" s="144"/>
      <c r="F59" s="44" t="s">
        <v>13</v>
      </c>
    </row>
    <row r="60" spans="1:6" x14ac:dyDescent="0.3">
      <c r="B60" s="39" t="s">
        <v>2</v>
      </c>
      <c r="C60" s="145" t="s">
        <v>16</v>
      </c>
      <c r="D60" s="145"/>
      <c r="E60" s="145"/>
      <c r="F60" s="70">
        <v>254.07</v>
      </c>
    </row>
    <row r="61" spans="1:6" s="92" customFormat="1" x14ac:dyDescent="0.3">
      <c r="A61" s="7"/>
      <c r="B61" s="39" t="s">
        <v>3</v>
      </c>
      <c r="C61" s="146" t="s">
        <v>18</v>
      </c>
      <c r="D61" s="146"/>
      <c r="E61" s="146"/>
      <c r="F61" s="70"/>
    </row>
    <row r="62" spans="1:6" s="92" customFormat="1" x14ac:dyDescent="0.3">
      <c r="A62" s="7"/>
      <c r="B62" s="39" t="s">
        <v>4</v>
      </c>
      <c r="C62" s="145" t="s">
        <v>17</v>
      </c>
      <c r="D62" s="145"/>
      <c r="E62" s="145"/>
      <c r="F62" s="70"/>
    </row>
    <row r="63" spans="1:6" s="91" customFormat="1" x14ac:dyDescent="0.3">
      <c r="B63" s="39" t="s">
        <v>5</v>
      </c>
      <c r="C63" s="130" t="s">
        <v>82</v>
      </c>
      <c r="D63" s="130"/>
      <c r="E63" s="130"/>
      <c r="F63" s="67"/>
    </row>
    <row r="64" spans="1:6" s="93" customFormat="1" ht="16.5" customHeight="1" x14ac:dyDescent="0.3">
      <c r="A64" s="7"/>
      <c r="B64" s="91"/>
      <c r="C64" s="91"/>
      <c r="D64" s="91"/>
      <c r="E64" s="91"/>
      <c r="F64" s="91"/>
    </row>
    <row r="65" spans="1:6" s="94" customFormat="1" ht="16.5" customHeight="1" x14ac:dyDescent="0.3">
      <c r="A65" s="7"/>
      <c r="B65" s="138" t="s">
        <v>72</v>
      </c>
      <c r="C65" s="138"/>
      <c r="D65" s="138"/>
      <c r="E65" s="138"/>
      <c r="F65" s="138"/>
    </row>
    <row r="66" spans="1:6" s="94" customFormat="1" x14ac:dyDescent="0.3">
      <c r="A66" s="92"/>
      <c r="B66" s="1">
        <v>6</v>
      </c>
      <c r="C66" s="141" t="s">
        <v>22</v>
      </c>
      <c r="D66" s="142"/>
      <c r="E66" s="143"/>
      <c r="F66" s="3" t="s">
        <v>1</v>
      </c>
    </row>
    <row r="67" spans="1:6" s="94" customFormat="1" x14ac:dyDescent="0.3">
      <c r="A67" s="92"/>
      <c r="B67" s="1" t="s">
        <v>2</v>
      </c>
      <c r="C67" s="132" t="s">
        <v>74</v>
      </c>
      <c r="D67" s="133"/>
      <c r="E67" s="134"/>
      <c r="F67" s="109">
        <v>4.7300000000000004</v>
      </c>
    </row>
    <row r="68" spans="1:6" s="94" customFormat="1" x14ac:dyDescent="0.3">
      <c r="A68" s="93"/>
      <c r="B68" s="2" t="s">
        <v>3</v>
      </c>
      <c r="C68" s="135" t="s">
        <v>29</v>
      </c>
      <c r="D68" s="136"/>
      <c r="E68" s="137"/>
      <c r="F68" s="109">
        <v>5.57</v>
      </c>
    </row>
    <row r="69" spans="1:6" x14ac:dyDescent="0.3">
      <c r="B69" s="25" t="s">
        <v>75</v>
      </c>
      <c r="C69" s="132" t="s">
        <v>24</v>
      </c>
      <c r="D69" s="133"/>
      <c r="E69" s="134">
        <f>PERC_PIS</f>
        <v>0.65</v>
      </c>
      <c r="F69" s="109">
        <v>0.65</v>
      </c>
    </row>
    <row r="70" spans="1:6" x14ac:dyDescent="0.3">
      <c r="B70" s="25" t="s">
        <v>76</v>
      </c>
      <c r="C70" s="135" t="s">
        <v>25</v>
      </c>
      <c r="D70" s="136"/>
      <c r="E70" s="137">
        <f>PERC_COFINS</f>
        <v>3</v>
      </c>
      <c r="F70" s="109">
        <v>3</v>
      </c>
    </row>
    <row r="71" spans="1:6" s="91" customFormat="1" x14ac:dyDescent="0.3">
      <c r="B71" s="25" t="s">
        <v>77</v>
      </c>
      <c r="C71" s="132" t="s">
        <v>26</v>
      </c>
      <c r="D71" s="133"/>
      <c r="E71" s="134">
        <f>PERC_ISS</f>
        <v>5</v>
      </c>
      <c r="F71" s="109">
        <v>5</v>
      </c>
    </row>
    <row r="72" spans="1:6" x14ac:dyDescent="0.3">
      <c r="B72" s="91"/>
      <c r="C72" s="91"/>
      <c r="D72" s="91"/>
      <c r="E72" s="91"/>
      <c r="F72" s="91"/>
    </row>
    <row r="73" spans="1:6" ht="33.75" customHeight="1" x14ac:dyDescent="0.3">
      <c r="B73" s="28" t="s">
        <v>157</v>
      </c>
      <c r="C73" s="29"/>
      <c r="D73" s="29"/>
      <c r="E73" s="29"/>
      <c r="F73" s="30"/>
    </row>
    <row r="74" spans="1:6" ht="32.25" customHeight="1" x14ac:dyDescent="0.3">
      <c r="B74" s="131" t="s">
        <v>185</v>
      </c>
      <c r="C74" s="131"/>
      <c r="D74" s="131"/>
      <c r="E74" s="131"/>
      <c r="F74" s="131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</dataValidation>
    <dataValidation type="list" allowBlank="1" showInputMessage="1" showErrorMessage="1" sqref="F13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1" sqref="B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1" customFormat="1" ht="25.5" x14ac:dyDescent="0.5">
      <c r="B1" s="101" t="s">
        <v>166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8" t="s">
        <v>9</v>
      </c>
      <c r="D3" s="158"/>
      <c r="E3" s="158"/>
      <c r="F3" s="3" t="s">
        <v>190</v>
      </c>
    </row>
    <row r="4" spans="1:6" x14ac:dyDescent="0.3">
      <c r="B4" s="1" t="s">
        <v>6</v>
      </c>
      <c r="C4" s="132" t="s">
        <v>122</v>
      </c>
      <c r="D4" s="133"/>
      <c r="E4" s="134"/>
      <c r="F4" s="63">
        <v>220</v>
      </c>
    </row>
    <row r="5" spans="1:6" x14ac:dyDescent="0.3">
      <c r="B5" s="1" t="s">
        <v>7</v>
      </c>
      <c r="C5" s="162" t="s">
        <v>116</v>
      </c>
      <c r="D5" s="162"/>
      <c r="E5" s="162"/>
      <c r="F5" s="61">
        <v>7</v>
      </c>
    </row>
    <row r="6" spans="1:6" x14ac:dyDescent="0.3">
      <c r="B6" s="1" t="s">
        <v>10</v>
      </c>
      <c r="C6" s="132" t="s">
        <v>115</v>
      </c>
      <c r="D6" s="133"/>
      <c r="E6" s="134"/>
      <c r="F6" s="63">
        <v>365</v>
      </c>
    </row>
    <row r="7" spans="1:6" x14ac:dyDescent="0.3">
      <c r="B7" s="1" t="s">
        <v>12</v>
      </c>
      <c r="C7" s="162" t="s">
        <v>142</v>
      </c>
      <c r="D7" s="162"/>
      <c r="E7" s="162"/>
      <c r="F7" s="62">
        <v>15.2</v>
      </c>
    </row>
    <row r="8" spans="1:6" x14ac:dyDescent="0.3">
      <c r="B8" s="1" t="s">
        <v>121</v>
      </c>
      <c r="C8" s="132" t="s">
        <v>123</v>
      </c>
      <c r="D8" s="133"/>
      <c r="E8" s="134"/>
      <c r="F8" s="63">
        <v>12</v>
      </c>
    </row>
    <row r="9" spans="1:6" x14ac:dyDescent="0.3">
      <c r="B9" s="1" t="s">
        <v>129</v>
      </c>
      <c r="C9" s="162" t="s">
        <v>117</v>
      </c>
      <c r="D9" s="162"/>
      <c r="E9" s="162"/>
      <c r="F9" s="61">
        <v>60</v>
      </c>
    </row>
    <row r="10" spans="1:6" s="11" customFormat="1" x14ac:dyDescent="0.3">
      <c r="A10" s="7"/>
      <c r="B10" s="1" t="s">
        <v>130</v>
      </c>
      <c r="C10" s="132" t="s">
        <v>118</v>
      </c>
      <c r="D10" s="133"/>
      <c r="E10" s="134"/>
      <c r="F10" s="64">
        <v>52.5</v>
      </c>
    </row>
    <row r="11" spans="1:6" s="91" customFormat="1" x14ac:dyDescent="0.3"/>
    <row r="12" spans="1:6" s="91" customFormat="1" x14ac:dyDescent="0.3">
      <c r="A12" s="7"/>
      <c r="B12" s="45" t="s">
        <v>65</v>
      </c>
      <c r="C12" s="82"/>
      <c r="D12" s="82"/>
      <c r="E12" s="82"/>
      <c r="F12" s="82"/>
    </row>
    <row r="13" spans="1:6" s="91" customFormat="1" ht="15" customHeight="1" x14ac:dyDescent="0.3">
      <c r="A13" s="7"/>
      <c r="B13" s="1" t="s">
        <v>87</v>
      </c>
      <c r="C13" s="126" t="s">
        <v>14</v>
      </c>
      <c r="D13" s="127"/>
      <c r="E13" s="3" t="s">
        <v>35</v>
      </c>
      <c r="F13" s="3" t="s">
        <v>1</v>
      </c>
    </row>
    <row r="14" spans="1:6" s="91" customFormat="1" x14ac:dyDescent="0.3">
      <c r="B14" s="75" t="s">
        <v>4</v>
      </c>
      <c r="C14" s="128" t="s">
        <v>143</v>
      </c>
      <c r="D14" s="128"/>
      <c r="E14" s="78" t="s">
        <v>141</v>
      </c>
      <c r="F14" s="66">
        <v>6</v>
      </c>
    </row>
    <row r="15" spans="1:6" s="91" customFormat="1" x14ac:dyDescent="0.3"/>
    <row r="16" spans="1:6" s="81" customFormat="1" x14ac:dyDescent="0.3">
      <c r="A16" s="91"/>
      <c r="B16" s="45" t="s">
        <v>66</v>
      </c>
      <c r="C16" s="6"/>
      <c r="D16" s="16"/>
      <c r="E16" s="14"/>
      <c r="F16" s="14"/>
    </row>
    <row r="17" spans="1:6" s="81" customFormat="1" x14ac:dyDescent="0.3">
      <c r="A17" s="91"/>
      <c r="B17" s="1">
        <v>3</v>
      </c>
      <c r="C17" s="141" t="s">
        <v>45</v>
      </c>
      <c r="D17" s="142"/>
      <c r="E17" s="143"/>
      <c r="F17" s="3" t="s">
        <v>191</v>
      </c>
    </row>
    <row r="18" spans="1:6" s="81" customFormat="1" x14ac:dyDescent="0.3">
      <c r="A18" s="91"/>
      <c r="B18" s="1" t="s">
        <v>2</v>
      </c>
      <c r="C18" s="132" t="s">
        <v>137</v>
      </c>
      <c r="D18" s="133"/>
      <c r="E18" s="134"/>
      <c r="F18" s="49">
        <v>62.93</v>
      </c>
    </row>
    <row r="19" spans="1:6" x14ac:dyDescent="0.3">
      <c r="A19" s="91"/>
      <c r="B19" s="2" t="s">
        <v>3</v>
      </c>
      <c r="C19" s="159" t="s">
        <v>125</v>
      </c>
      <c r="D19" s="160"/>
      <c r="E19" s="161"/>
      <c r="F19" s="31">
        <v>5.55</v>
      </c>
    </row>
    <row r="20" spans="1:6" s="81" customFormat="1" ht="15.95" customHeight="1" x14ac:dyDescent="0.15">
      <c r="B20" s="2" t="s">
        <v>4</v>
      </c>
      <c r="C20" s="132" t="s">
        <v>126</v>
      </c>
      <c r="D20" s="133"/>
      <c r="E20" s="134"/>
      <c r="F20" s="65">
        <v>40</v>
      </c>
    </row>
    <row r="21" spans="1:6" s="81" customFormat="1" ht="15.95" customHeight="1" x14ac:dyDescent="0.3">
      <c r="A21" s="91"/>
      <c r="B21" s="2" t="s">
        <v>5</v>
      </c>
      <c r="C21" s="159" t="s">
        <v>127</v>
      </c>
      <c r="D21" s="160"/>
      <c r="E21" s="161"/>
      <c r="F21" s="66">
        <v>10</v>
      </c>
    </row>
    <row r="22" spans="1:6" x14ac:dyDescent="0.3">
      <c r="A22" s="91"/>
      <c r="B22" s="2" t="s">
        <v>6</v>
      </c>
      <c r="C22" s="132" t="s">
        <v>128</v>
      </c>
      <c r="D22" s="133"/>
      <c r="E22" s="134"/>
      <c r="F22" s="49">
        <v>94.45</v>
      </c>
    </row>
    <row r="23" spans="1:6" x14ac:dyDescent="0.3">
      <c r="A23" s="91"/>
      <c r="B23" s="2" t="s">
        <v>7</v>
      </c>
      <c r="C23" s="159" t="s">
        <v>139</v>
      </c>
      <c r="D23" s="160"/>
      <c r="E23" s="161"/>
      <c r="F23" s="66">
        <v>30</v>
      </c>
    </row>
    <row r="24" spans="1:6" s="91" customFormat="1" x14ac:dyDescent="0.3"/>
    <row r="25" spans="1:6" s="81" customFormat="1" x14ac:dyDescent="0.3">
      <c r="B25" s="45" t="s">
        <v>69</v>
      </c>
      <c r="C25" s="6"/>
      <c r="D25" s="16"/>
      <c r="E25" s="7"/>
      <c r="F25" s="7"/>
    </row>
    <row r="26" spans="1:6" s="81" customFormat="1" ht="15" customHeight="1" x14ac:dyDescent="0.3">
      <c r="B26" s="45" t="s">
        <v>99</v>
      </c>
      <c r="C26" s="6"/>
      <c r="D26" s="16"/>
      <c r="E26" s="14"/>
      <c r="F26" s="14"/>
    </row>
    <row r="27" spans="1:6" s="81" customFormat="1" x14ac:dyDescent="0.15">
      <c r="B27" s="1" t="s">
        <v>20</v>
      </c>
      <c r="C27" s="152" t="s">
        <v>100</v>
      </c>
      <c r="D27" s="153"/>
      <c r="E27" s="154"/>
      <c r="F27" s="3" t="s">
        <v>191</v>
      </c>
    </row>
    <row r="28" spans="1:6" s="81" customFormat="1" x14ac:dyDescent="0.15">
      <c r="B28" s="1" t="s">
        <v>2</v>
      </c>
      <c r="C28" s="132" t="s">
        <v>131</v>
      </c>
      <c r="D28" s="133"/>
      <c r="E28" s="134"/>
      <c r="F28" s="65">
        <v>8</v>
      </c>
    </row>
    <row r="29" spans="1:6" x14ac:dyDescent="0.3">
      <c r="A29" s="81"/>
      <c r="B29" s="2" t="s">
        <v>3</v>
      </c>
      <c r="C29" s="135" t="s">
        <v>132</v>
      </c>
      <c r="D29" s="136"/>
      <c r="E29" s="137"/>
      <c r="F29" s="66">
        <v>20</v>
      </c>
    </row>
    <row r="30" spans="1:6" x14ac:dyDescent="0.3">
      <c r="A30" s="81"/>
      <c r="B30" s="2" t="s">
        <v>4</v>
      </c>
      <c r="C30" s="132" t="s">
        <v>133</v>
      </c>
      <c r="D30" s="133"/>
      <c r="E30" s="134"/>
      <c r="F30" s="49">
        <v>1.42</v>
      </c>
    </row>
    <row r="31" spans="1:6" x14ac:dyDescent="0.3">
      <c r="A31" s="81"/>
      <c r="B31" s="2" t="s">
        <v>5</v>
      </c>
      <c r="C31" s="135" t="s">
        <v>180</v>
      </c>
      <c r="D31" s="136"/>
      <c r="E31" s="137"/>
      <c r="F31" s="31">
        <v>45.22</v>
      </c>
    </row>
    <row r="32" spans="1:6" s="81" customFormat="1" ht="15.95" customHeight="1" x14ac:dyDescent="0.3">
      <c r="A32" s="7"/>
      <c r="B32" s="2" t="s">
        <v>6</v>
      </c>
      <c r="C32" s="132" t="s">
        <v>135</v>
      </c>
      <c r="D32" s="133"/>
      <c r="E32" s="134"/>
      <c r="F32" s="49">
        <f>(154800/34808000)*100</f>
        <v>0.44</v>
      </c>
    </row>
    <row r="33" spans="1:6" ht="15.75" customHeight="1" x14ac:dyDescent="0.3">
      <c r="A33" s="81"/>
      <c r="B33" s="2" t="s">
        <v>7</v>
      </c>
      <c r="C33" s="135" t="s">
        <v>140</v>
      </c>
      <c r="D33" s="136"/>
      <c r="E33" s="137"/>
      <c r="F33" s="66">
        <v>15</v>
      </c>
    </row>
    <row r="34" spans="1:6" ht="15.75" customHeight="1" x14ac:dyDescent="0.3">
      <c r="A34" s="81"/>
      <c r="B34" s="2" t="s">
        <v>10</v>
      </c>
      <c r="C34" s="132" t="s">
        <v>136</v>
      </c>
      <c r="D34" s="133"/>
      <c r="E34" s="134"/>
      <c r="F34" s="65">
        <v>180</v>
      </c>
    </row>
    <row r="35" spans="1:6" x14ac:dyDescent="0.3">
      <c r="A35" s="81"/>
      <c r="B35" s="2" t="s">
        <v>11</v>
      </c>
      <c r="C35" s="135" t="s">
        <v>181</v>
      </c>
      <c r="D35" s="136"/>
      <c r="E35" s="137"/>
      <c r="F35" s="31">
        <v>54.78</v>
      </c>
    </row>
    <row r="36" spans="1:6" s="91" customFormat="1" ht="8.25" customHeight="1" x14ac:dyDescent="0.3"/>
    <row r="37" spans="1:6" x14ac:dyDescent="0.3">
      <c r="B37" s="45" t="s">
        <v>70</v>
      </c>
      <c r="C37" s="6"/>
      <c r="D37" s="16"/>
      <c r="E37" s="14"/>
      <c r="F37" s="14"/>
    </row>
    <row r="38" spans="1:6" x14ac:dyDescent="0.3">
      <c r="B38" s="1" t="s">
        <v>21</v>
      </c>
      <c r="C38" s="150" t="s">
        <v>71</v>
      </c>
      <c r="D38" s="150"/>
      <c r="E38" s="150"/>
      <c r="F38" s="3" t="s">
        <v>192</v>
      </c>
    </row>
    <row r="39" spans="1:6" x14ac:dyDescent="0.3">
      <c r="B39" s="1" t="s">
        <v>2</v>
      </c>
      <c r="C39" s="151" t="s">
        <v>124</v>
      </c>
      <c r="D39" s="151"/>
      <c r="E39" s="151"/>
      <c r="F39" s="63">
        <f>PERC_HORA_EXTRA</f>
        <v>0</v>
      </c>
    </row>
    <row r="40" spans="1:6" ht="15" customHeight="1" x14ac:dyDescent="0.3">
      <c r="B40" s="1" t="s">
        <v>3</v>
      </c>
      <c r="C40" s="135" t="s">
        <v>134</v>
      </c>
      <c r="D40" s="136"/>
      <c r="E40" s="137"/>
      <c r="F40" s="61">
        <f>TEMPO_INTERVALO_REFEICAO</f>
        <v>0</v>
      </c>
    </row>
    <row r="41" spans="1:6" s="91" customFormat="1" x14ac:dyDescent="0.3"/>
    <row r="42" spans="1:6" ht="20.25" x14ac:dyDescent="0.3">
      <c r="B42" s="28" t="s">
        <v>157</v>
      </c>
      <c r="C42" s="29"/>
      <c r="D42" s="29"/>
      <c r="E42" s="29"/>
      <c r="F42" s="30"/>
    </row>
    <row r="43" spans="1:6" ht="33.75" customHeight="1" x14ac:dyDescent="0.3">
      <c r="B43" s="131" t="s">
        <v>185</v>
      </c>
      <c r="C43" s="131"/>
      <c r="D43" s="131"/>
      <c r="E43" s="131"/>
      <c r="F43" s="131"/>
    </row>
  </sheetData>
  <sheetProtection sheet="1" objects="1" scenarios="1"/>
  <mergeCells count="30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4:E34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B43:F43"/>
    <mergeCell ref="C35:E35"/>
    <mergeCell ref="C38:E38"/>
    <mergeCell ref="C39:E39"/>
    <mergeCell ref="C40:E40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B1" sqref="B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1" customFormat="1" ht="25.5" x14ac:dyDescent="0.5">
      <c r="B1" s="101" t="s">
        <v>167</v>
      </c>
      <c r="C1" s="7"/>
      <c r="D1" s="7"/>
      <c r="E1" s="7"/>
      <c r="F1" s="7"/>
      <c r="G1" s="7"/>
    </row>
    <row r="2" spans="2:7" x14ac:dyDescent="0.3">
      <c r="B2" s="45" t="s">
        <v>60</v>
      </c>
      <c r="E2" s="15"/>
    </row>
    <row r="3" spans="2:7" x14ac:dyDescent="0.3">
      <c r="B3" s="45" t="s">
        <v>108</v>
      </c>
      <c r="C3" s="6"/>
      <c r="D3" s="16"/>
      <c r="E3" s="14"/>
    </row>
    <row r="4" spans="2:7" x14ac:dyDescent="0.3">
      <c r="B4" s="1" t="s">
        <v>61</v>
      </c>
      <c r="C4" s="150" t="s">
        <v>90</v>
      </c>
      <c r="D4" s="150"/>
      <c r="E4" s="3" t="s">
        <v>1</v>
      </c>
      <c r="F4" s="3" t="s">
        <v>168</v>
      </c>
    </row>
    <row r="5" spans="2:7" x14ac:dyDescent="0.3">
      <c r="B5" s="1" t="s">
        <v>2</v>
      </c>
      <c r="C5" s="165" t="s">
        <v>44</v>
      </c>
      <c r="D5" s="165"/>
      <c r="E5" s="50">
        <f>(1/MESES_NO_ANO)*100</f>
        <v>8.33</v>
      </c>
      <c r="F5" s="50" t="s">
        <v>169</v>
      </c>
    </row>
    <row r="6" spans="2:7" s="11" customFormat="1" x14ac:dyDescent="0.3">
      <c r="B6" s="2" t="s">
        <v>3</v>
      </c>
      <c r="C6" s="163" t="s">
        <v>92</v>
      </c>
      <c r="D6" s="163"/>
      <c r="E6" s="33">
        <f>(1/3)/MESES_NO_ANO*100</f>
        <v>2.78</v>
      </c>
      <c r="F6" s="33" t="s">
        <v>170</v>
      </c>
    </row>
    <row r="7" spans="2:7" s="91" customFormat="1" x14ac:dyDescent="0.3">
      <c r="B7" s="168" t="s">
        <v>62</v>
      </c>
      <c r="C7" s="168"/>
      <c r="D7" s="168"/>
      <c r="E7" s="168"/>
      <c r="F7" s="168"/>
    </row>
    <row r="8" spans="2:7" s="91" customFormat="1" ht="34.5" customHeight="1" x14ac:dyDescent="0.3">
      <c r="B8" s="1" t="s">
        <v>63</v>
      </c>
      <c r="C8" s="164" t="s">
        <v>93</v>
      </c>
      <c r="D8" s="164"/>
      <c r="E8" s="3" t="s">
        <v>1</v>
      </c>
    </row>
    <row r="9" spans="2:7" x14ac:dyDescent="0.3">
      <c r="B9" s="1" t="s">
        <v>2</v>
      </c>
      <c r="C9" s="165" t="s">
        <v>38</v>
      </c>
      <c r="D9" s="165"/>
      <c r="E9" s="50">
        <v>20</v>
      </c>
    </row>
    <row r="10" spans="2:7" s="81" customFormat="1" x14ac:dyDescent="0.15">
      <c r="B10" s="2" t="s">
        <v>3</v>
      </c>
      <c r="C10" s="163" t="s">
        <v>40</v>
      </c>
      <c r="D10" s="163"/>
      <c r="E10" s="40">
        <v>2.5</v>
      </c>
    </row>
    <row r="11" spans="2:7" s="81" customFormat="1" x14ac:dyDescent="0.15">
      <c r="B11" s="2" t="s">
        <v>4</v>
      </c>
      <c r="C11" s="165" t="s">
        <v>86</v>
      </c>
      <c r="D11" s="165"/>
      <c r="E11" s="50">
        <v>3</v>
      </c>
    </row>
    <row r="12" spans="2:7" s="81" customFormat="1" x14ac:dyDescent="0.15">
      <c r="B12" s="2" t="s">
        <v>5</v>
      </c>
      <c r="C12" s="163" t="s">
        <v>84</v>
      </c>
      <c r="D12" s="163"/>
      <c r="E12" s="33">
        <v>1.5</v>
      </c>
    </row>
    <row r="13" spans="2:7" s="81" customFormat="1" x14ac:dyDescent="0.15">
      <c r="B13" s="2" t="s">
        <v>6</v>
      </c>
      <c r="C13" s="165" t="s">
        <v>85</v>
      </c>
      <c r="D13" s="165"/>
      <c r="E13" s="50">
        <v>1</v>
      </c>
    </row>
    <row r="14" spans="2:7" s="82" customFormat="1" x14ac:dyDescent="0.15">
      <c r="B14" s="2" t="s">
        <v>7</v>
      </c>
      <c r="C14" s="163" t="s">
        <v>42</v>
      </c>
      <c r="D14" s="163"/>
      <c r="E14" s="40">
        <v>0.6</v>
      </c>
    </row>
    <row r="15" spans="2:7" s="82" customFormat="1" x14ac:dyDescent="0.15">
      <c r="B15" s="2" t="s">
        <v>10</v>
      </c>
      <c r="C15" s="165" t="s">
        <v>39</v>
      </c>
      <c r="D15" s="165"/>
      <c r="E15" s="50">
        <v>0.2</v>
      </c>
    </row>
    <row r="16" spans="2:7" x14ac:dyDescent="0.3">
      <c r="B16" s="2" t="s">
        <v>11</v>
      </c>
      <c r="C16" s="163" t="s">
        <v>41</v>
      </c>
      <c r="D16" s="163"/>
      <c r="E16" s="40">
        <v>8</v>
      </c>
    </row>
    <row r="17" spans="2:6" x14ac:dyDescent="0.3">
      <c r="B17" s="150" t="s">
        <v>43</v>
      </c>
      <c r="C17" s="150"/>
      <c r="D17" s="150"/>
      <c r="E17" s="34">
        <f>SUM(E9:E16)</f>
        <v>36.799999999999997</v>
      </c>
    </row>
    <row r="18" spans="2:6" s="91" customFormat="1" x14ac:dyDescent="0.3">
      <c r="B18" s="45" t="s">
        <v>66</v>
      </c>
      <c r="C18" s="6"/>
      <c r="D18" s="16"/>
      <c r="E18" s="14"/>
    </row>
    <row r="19" spans="2:6" s="91" customFormat="1" ht="15" customHeight="1" x14ac:dyDescent="0.3">
      <c r="B19" s="1">
        <v>3</v>
      </c>
      <c r="C19" s="150" t="s">
        <v>45</v>
      </c>
      <c r="D19" s="150"/>
      <c r="E19" s="3" t="s">
        <v>1</v>
      </c>
      <c r="F19" s="3" t="s">
        <v>168</v>
      </c>
    </row>
    <row r="20" spans="2:6" s="91" customFormat="1" x14ac:dyDescent="0.3">
      <c r="B20" s="1" t="s">
        <v>2</v>
      </c>
      <c r="C20" s="166" t="s">
        <v>46</v>
      </c>
      <c r="D20" s="166"/>
      <c r="E20" s="50">
        <f>PERC_EMPREG_DEMIT_SEM_JUSTA_CAUSA_TOTAL_DESLIG%*PERC_EMPREG_AVISO_PREVIO_IND%*1/MESES_NO_ANO*100</f>
        <v>0.28999999999999998</v>
      </c>
      <c r="F20" s="50" t="s">
        <v>171</v>
      </c>
    </row>
    <row r="21" spans="2:6" s="91" customFormat="1" x14ac:dyDescent="0.3">
      <c r="B21" s="2" t="s">
        <v>3</v>
      </c>
      <c r="C21" s="167" t="s">
        <v>47</v>
      </c>
      <c r="D21" s="167"/>
      <c r="E21" s="40">
        <f>PERC_FGTS%*PERC_AVISO_PREVIO_IND</f>
        <v>0.02</v>
      </c>
      <c r="F21" s="33" t="s">
        <v>172</v>
      </c>
    </row>
    <row r="22" spans="2:6" s="81" customFormat="1" x14ac:dyDescent="0.15">
      <c r="B22" s="2" t="s">
        <v>4</v>
      </c>
      <c r="C22" s="166" t="s">
        <v>67</v>
      </c>
      <c r="D22" s="166"/>
      <c r="E22" s="50">
        <f>PERC_AVISO_PREVIO_IND%*(PERC_MULTA_FGTS%+PERC_CONTRIB_SOCIAL%)*PERC_FGTS%*100</f>
        <v>0.01</v>
      </c>
      <c r="F22" s="50" t="s">
        <v>173</v>
      </c>
    </row>
    <row r="23" spans="2:6" s="91" customFormat="1" x14ac:dyDescent="0.3">
      <c r="B23" s="2" t="s">
        <v>5</v>
      </c>
      <c r="C23" s="167" t="s">
        <v>48</v>
      </c>
      <c r="D23" s="167"/>
      <c r="E23" s="40">
        <f>PERC_EMPREG_DEMIT_SEM_JUSTA_CAUSA_TOTAL_DESLIG%*PERC_EMPREG_AVISO_PREVIO_TRAB%*(DIAS_NA_SEMANA/DIAS_NO_MES)/MESES_NO_ANO*100</f>
        <v>1.1599999999999999</v>
      </c>
      <c r="F23" s="33" t="s">
        <v>179</v>
      </c>
    </row>
    <row r="24" spans="2:6" s="81" customFormat="1" x14ac:dyDescent="0.15">
      <c r="B24" s="2" t="s">
        <v>6</v>
      </c>
      <c r="C24" s="166" t="s">
        <v>107</v>
      </c>
      <c r="D24" s="166"/>
      <c r="E24" s="50">
        <f>PERC_GPS_FGTS*PERC_AVISO_PREVIO_TRAB%</f>
        <v>0.43</v>
      </c>
      <c r="F24" s="50" t="s">
        <v>174</v>
      </c>
    </row>
    <row r="25" spans="2:6" s="81" customFormat="1" x14ac:dyDescent="0.15">
      <c r="B25" s="2" t="s">
        <v>7</v>
      </c>
      <c r="C25" s="167" t="s">
        <v>68</v>
      </c>
      <c r="D25" s="167"/>
      <c r="E25" s="40">
        <f>ROUNDUP(PERC_AVISO_PREVIO_TRAB%*(PERC_MULTA_FGTS%+PERC_CONTRIB_SOCIAL%)*PERC_FGTS%*100,2)</f>
        <v>0.05</v>
      </c>
      <c r="F25" s="33" t="s">
        <v>175</v>
      </c>
    </row>
    <row r="26" spans="2:6" s="81" customFormat="1" ht="15.95" customHeight="1" x14ac:dyDescent="0.3">
      <c r="B26" s="45" t="s">
        <v>69</v>
      </c>
      <c r="C26" s="6"/>
      <c r="D26" s="16"/>
      <c r="E26" s="7"/>
    </row>
    <row r="27" spans="2:6" s="81" customFormat="1" ht="15.95" customHeight="1" x14ac:dyDescent="0.3">
      <c r="B27" s="45" t="s">
        <v>99</v>
      </c>
      <c r="C27" s="6"/>
      <c r="D27" s="16"/>
      <c r="E27" s="14"/>
    </row>
    <row r="28" spans="2:6" s="81" customFormat="1" x14ac:dyDescent="0.15">
      <c r="B28" s="1" t="s">
        <v>20</v>
      </c>
      <c r="C28" s="169" t="s">
        <v>100</v>
      </c>
      <c r="D28" s="169"/>
      <c r="E28" s="3" t="s">
        <v>1</v>
      </c>
      <c r="F28" s="3" t="s">
        <v>168</v>
      </c>
    </row>
    <row r="29" spans="2:6" s="81" customFormat="1" ht="15.95" customHeight="1" x14ac:dyDescent="0.15">
      <c r="B29" s="2" t="s">
        <v>2</v>
      </c>
      <c r="C29" s="165" t="s">
        <v>101</v>
      </c>
      <c r="D29" s="165"/>
      <c r="E29" s="50">
        <f>(1/MESES_NO_ANO)*100</f>
        <v>8.33</v>
      </c>
      <c r="F29" s="50" t="s">
        <v>176</v>
      </c>
    </row>
    <row r="30" spans="2:6" s="81" customFormat="1" ht="15.95" customHeight="1" x14ac:dyDescent="0.15">
      <c r="B30" s="2" t="s">
        <v>3</v>
      </c>
      <c r="C30" s="77" t="s">
        <v>102</v>
      </c>
      <c r="D30" s="77"/>
      <c r="E30" s="40">
        <f>(DIAS_AUSENCIAS_LEGAIS/DIAS_NO_MES)/MESES_NO_ANO*100</f>
        <v>2.2200000000000002</v>
      </c>
      <c r="F30" s="33" t="s">
        <v>177</v>
      </c>
    </row>
    <row r="31" spans="2:6" s="81" customFormat="1" ht="15.95" customHeight="1" x14ac:dyDescent="0.15">
      <c r="B31" s="2" t="s">
        <v>4</v>
      </c>
      <c r="C31" s="165" t="s">
        <v>103</v>
      </c>
      <c r="D31" s="165"/>
      <c r="E31" s="50">
        <f>(((DIAS_LICENCA_PATERNIDADE/DIAS_NO_MES)/MESES_NO_ANO)*PERC_NASCIDOS_VIVOS_POPUL_FEM%*PERC_PARTIC_MASC_VIGIL%)*100</f>
        <v>0.04</v>
      </c>
      <c r="F31" s="50" t="s">
        <v>182</v>
      </c>
    </row>
    <row r="32" spans="2:6" s="81" customFormat="1" x14ac:dyDescent="0.15">
      <c r="B32" s="2" t="s">
        <v>5</v>
      </c>
      <c r="C32" s="163" t="s">
        <v>104</v>
      </c>
      <c r="D32" s="163"/>
      <c r="E32" s="40">
        <f>(DIAS_PAGOS_EMPRESA_ACID_TRAB/DIAS_NO_MES)/MESES_NO_ANO*PERC_EMPREG_AFAST_TRAB%*100</f>
        <v>0.02</v>
      </c>
      <c r="F32" s="33" t="s">
        <v>178</v>
      </c>
    </row>
    <row r="33" spans="2:7" s="81" customFormat="1" ht="33" x14ac:dyDescent="0.15">
      <c r="B33" s="2" t="s">
        <v>6</v>
      </c>
      <c r="C33" s="165" t="s">
        <v>105</v>
      </c>
      <c r="D33" s="165"/>
      <c r="E33" s="50">
        <f>(((DIAS_LICENCA_MATERNIDADE/DIAS_NO_MES)/MESES_NO_ANO)*PERC_NASCIDOS_VIVOS_POPUL_FEM%*PERC_PARTIC_FEM_VIGIL%*PERC_GPS_FGTS%*100)</f>
        <v>0.14000000000000001</v>
      </c>
      <c r="F33" s="50" t="s">
        <v>183</v>
      </c>
    </row>
    <row r="34" spans="2:7" s="81" customFormat="1" x14ac:dyDescent="0.15">
      <c r="B34" s="2" t="s">
        <v>7</v>
      </c>
      <c r="C34" s="163" t="str">
        <f>OUTRAS_AUSENCIAS_DESCRICAO</f>
        <v>Outras Ausências (Especificar - em %)</v>
      </c>
      <c r="D34" s="163"/>
      <c r="E34" s="40">
        <f>PERC_SUBSTITUTO_OUTRAS_AUSENCIAS</f>
        <v>0</v>
      </c>
      <c r="F34" s="33"/>
    </row>
    <row r="36" spans="2:7" ht="20.25" x14ac:dyDescent="0.3">
      <c r="B36" s="28" t="s">
        <v>157</v>
      </c>
    </row>
    <row r="37" spans="2:7" ht="42.75" customHeight="1" x14ac:dyDescent="0.3">
      <c r="B37" s="131" t="s">
        <v>185</v>
      </c>
      <c r="C37" s="131"/>
      <c r="D37" s="131"/>
      <c r="E37" s="131"/>
      <c r="G37" s="102"/>
    </row>
  </sheetData>
  <sheetProtection sheet="1" objects="1" scenarios="1"/>
  <mergeCells count="28">
    <mergeCell ref="C32:D32"/>
    <mergeCell ref="C33:D33"/>
    <mergeCell ref="C24:D24"/>
    <mergeCell ref="C25:D25"/>
    <mergeCell ref="C28:D28"/>
    <mergeCell ref="C29:D29"/>
    <mergeCell ref="C4:D4"/>
    <mergeCell ref="C5:D5"/>
    <mergeCell ref="C6:D6"/>
    <mergeCell ref="C10:D10"/>
    <mergeCell ref="C11:D11"/>
    <mergeCell ref="B7:F7"/>
    <mergeCell ref="B37:E37"/>
    <mergeCell ref="C34:D34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22:D22"/>
    <mergeCell ref="C23:D23"/>
    <mergeCell ref="C16:D16"/>
    <mergeCell ref="B17:D17"/>
    <mergeCell ref="C31:D31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8"/>
  <sheetViews>
    <sheetView tabSelected="1" topLeftCell="A31" zoomScaleNormal="100" zoomScaleSheetLayoutView="100" workbookViewId="0">
      <selection activeCell="N44" sqref="N4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</v>
      </c>
      <c r="C1" s="189"/>
      <c r="D1" s="189"/>
      <c r="E1" s="189"/>
      <c r="F1" s="190"/>
    </row>
    <row r="2" spans="2:6" ht="20.25" x14ac:dyDescent="0.35">
      <c r="B2" s="191" t="str">
        <f>UG</f>
        <v>UNIDADE GESTORA (SIGLA):</v>
      </c>
      <c r="C2" s="192"/>
      <c r="D2" s="193"/>
      <c r="E2" s="79" t="s">
        <v>52</v>
      </c>
      <c r="F2" s="80" t="str">
        <f>DATA_DO_ORCAMENTO_ESTIMATIVO</f>
        <v>XX/XX/20XX</v>
      </c>
    </row>
    <row r="3" spans="2:6" s="81" customFormat="1" ht="25.5" x14ac:dyDescent="0.5">
      <c r="B3" s="123" t="s">
        <v>163</v>
      </c>
      <c r="C3" s="123"/>
      <c r="D3" s="123"/>
      <c r="E3" s="123"/>
      <c r="F3" s="123"/>
    </row>
    <row r="4" spans="2:6" s="81" customFormat="1" ht="15.95" customHeight="1" x14ac:dyDescent="0.3">
      <c r="B4" s="112" t="s">
        <v>94</v>
      </c>
      <c r="C4" s="112"/>
      <c r="D4" s="112"/>
      <c r="E4" s="112"/>
      <c r="F4" s="112"/>
    </row>
    <row r="5" spans="2:6" s="81" customFormat="1" ht="15.95" customHeight="1" x14ac:dyDescent="0.3">
      <c r="B5" s="115" t="s">
        <v>186</v>
      </c>
      <c r="C5" s="115"/>
      <c r="D5" s="194" t="str">
        <f>NUMERO_PROCESSO</f>
        <v>X19.00.6180.0003028/2019-70</v>
      </c>
      <c r="E5" s="194"/>
      <c r="F5" s="194"/>
    </row>
    <row r="6" spans="2:6" s="81" customFormat="1" ht="15.75" customHeight="1" x14ac:dyDescent="0.3">
      <c r="B6" s="113" t="s">
        <v>187</v>
      </c>
      <c r="C6" s="113"/>
      <c r="D6" s="186" t="str">
        <f>MODALIDADE_DE_LICITACAO</f>
        <v>Pregão nº</v>
      </c>
      <c r="E6" s="186"/>
      <c r="F6" s="108" t="str">
        <f>NUMERO_PREGAO</f>
        <v>XX/20XX</v>
      </c>
    </row>
    <row r="7" spans="2:6" s="82" customFormat="1" ht="15.75" customHeight="1" x14ac:dyDescent="0.3">
      <c r="B7" s="187" t="s">
        <v>53</v>
      </c>
      <c r="C7" s="187"/>
      <c r="D7" s="187"/>
      <c r="E7" s="187"/>
      <c r="F7" s="187"/>
    </row>
    <row r="8" spans="2:6" s="81" customFormat="1" ht="18" customHeight="1" x14ac:dyDescent="0.3">
      <c r="B8" s="19" t="s">
        <v>2</v>
      </c>
      <c r="C8" s="115" t="s">
        <v>58</v>
      </c>
      <c r="D8" s="115"/>
      <c r="E8" s="115"/>
      <c r="F8" s="83" t="str">
        <f>DATA_APRESENTACAO_PROPOSTA</f>
        <v>XX/XX/20XX</v>
      </c>
    </row>
    <row r="9" spans="2:6" s="81" customFormat="1" ht="15.95" customHeight="1" x14ac:dyDescent="0.15">
      <c r="B9" s="1" t="s">
        <v>3</v>
      </c>
      <c r="C9" s="58" t="s">
        <v>33</v>
      </c>
      <c r="D9" s="184" t="str">
        <f>IF(LOCAL_DE_EXECUCAO="","",LOCAL_DE_EXECUCAO)</f>
        <v/>
      </c>
      <c r="E9" s="184"/>
      <c r="F9" s="184"/>
    </row>
    <row r="10" spans="2:6" s="81" customFormat="1" ht="18.75" customHeight="1" x14ac:dyDescent="0.3">
      <c r="B10" s="19" t="s">
        <v>4</v>
      </c>
      <c r="C10" s="115" t="s">
        <v>34</v>
      </c>
      <c r="D10" s="115"/>
      <c r="E10" s="115"/>
      <c r="F10" s="84" t="str">
        <f>ACORDO_COLETIVO</f>
        <v>/20XX</v>
      </c>
    </row>
    <row r="11" spans="2:6" s="81" customFormat="1" ht="15.95" customHeight="1" x14ac:dyDescent="0.3">
      <c r="B11" s="1" t="s">
        <v>5</v>
      </c>
      <c r="C11" s="184" t="s">
        <v>59</v>
      </c>
      <c r="D11" s="184"/>
      <c r="E11" s="184"/>
      <c r="F11" s="85">
        <f>NUMERO_MESES_EXEC_CONTRATUAL</f>
        <v>12</v>
      </c>
    </row>
    <row r="12" spans="2:6" s="81" customFormat="1" x14ac:dyDescent="0.3">
      <c r="B12" s="1" t="s">
        <v>6</v>
      </c>
      <c r="C12" s="185" t="s">
        <v>81</v>
      </c>
      <c r="D12" s="185"/>
      <c r="E12" s="185"/>
      <c r="F12" s="86">
        <f>IF(QTDE_POSTOS="","",QTDE_POSTOS)</f>
        <v>3</v>
      </c>
    </row>
    <row r="13" spans="2:6" s="89" customFormat="1" ht="15" customHeight="1" x14ac:dyDescent="0.2">
      <c r="B13" s="87" t="s">
        <v>158</v>
      </c>
      <c r="C13" s="88"/>
      <c r="D13" s="88"/>
      <c r="E13" s="88"/>
      <c r="F13" s="88"/>
    </row>
    <row r="14" spans="2:6" s="81" customFormat="1" x14ac:dyDescent="0.3">
      <c r="B14" s="19">
        <v>1</v>
      </c>
      <c r="C14" s="125" t="s">
        <v>55</v>
      </c>
      <c r="D14" s="125"/>
      <c r="E14" s="181" t="str">
        <f>IF(TIPO_DE_SERVICO="","",TIPO_DE_SERVICO)</f>
        <v>MOTORISTA VEÍCULOS PESADOS</v>
      </c>
      <c r="F14" s="181"/>
    </row>
    <row r="15" spans="2:6" s="82" customFormat="1" x14ac:dyDescent="0.3">
      <c r="B15" s="19">
        <v>2</v>
      </c>
      <c r="C15" s="21" t="s">
        <v>54</v>
      </c>
      <c r="D15" s="180" t="str">
        <f>IF(CBO="","",CBO)</f>
        <v/>
      </c>
      <c r="E15" s="180"/>
      <c r="F15" s="180"/>
    </row>
    <row r="16" spans="2:6" s="81" customFormat="1" ht="15" customHeight="1" x14ac:dyDescent="0.3">
      <c r="B16" s="19">
        <v>3</v>
      </c>
      <c r="C16" s="104" t="s">
        <v>56</v>
      </c>
      <c r="D16" s="181" t="str">
        <f>IF(CATEGORIA_PROFISSIONAL="","",CATEGORIA_PROFISSIONAL)</f>
        <v/>
      </c>
      <c r="E16" s="181"/>
      <c r="F16" s="181"/>
    </row>
    <row r="17" spans="2:6" s="81" customFormat="1" ht="15" customHeight="1" x14ac:dyDescent="0.3">
      <c r="B17" s="19">
        <v>4</v>
      </c>
      <c r="C17" s="128" t="s">
        <v>57</v>
      </c>
      <c r="D17" s="128"/>
      <c r="E17" s="128"/>
      <c r="F17" s="105" t="str">
        <f>DATA_BASE_CATEGORIA</f>
        <v>XX/XX/20XX</v>
      </c>
    </row>
    <row r="18" spans="2:6" s="90" customFormat="1" ht="20.25" customHeight="1" x14ac:dyDescent="0.3">
      <c r="B18" s="182" t="s">
        <v>37</v>
      </c>
      <c r="C18" s="182"/>
      <c r="D18" s="182"/>
      <c r="E18" s="182"/>
      <c r="F18" s="182"/>
    </row>
    <row r="19" spans="2:6" x14ac:dyDescent="0.3">
      <c r="B19" s="150" t="s">
        <v>50</v>
      </c>
      <c r="C19" s="150"/>
      <c r="D19" s="150"/>
      <c r="E19" s="150"/>
      <c r="F19" s="95" t="str">
        <f>IF(EMPREG_POR_POSTO="","",EMPREG_POR_POSTO)</f>
        <v/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8" t="s">
        <v>9</v>
      </c>
      <c r="D21" s="158"/>
      <c r="E21" s="158"/>
      <c r="F21" s="3" t="s">
        <v>13</v>
      </c>
    </row>
    <row r="22" spans="2:6" x14ac:dyDescent="0.3">
      <c r="B22" s="1" t="s">
        <v>2</v>
      </c>
      <c r="C22" s="151" t="s">
        <v>89</v>
      </c>
      <c r="D22" s="151"/>
      <c r="E22" s="151"/>
      <c r="F22" s="48">
        <f>SALARIO_BASE</f>
        <v>2475.06</v>
      </c>
    </row>
    <row r="23" spans="2:6" x14ac:dyDescent="0.3">
      <c r="B23" s="1" t="s">
        <v>3</v>
      </c>
      <c r="C23" s="163" t="s">
        <v>91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4</v>
      </c>
      <c r="C24" s="183" t="s">
        <v>79</v>
      </c>
      <c r="D24" s="183"/>
      <c r="E24" s="183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3" t="s">
        <v>83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2" t="s">
        <v>160</v>
      </c>
      <c r="D26" s="133"/>
      <c r="E26" s="134"/>
      <c r="F26" s="48">
        <f>PERC_ADIC_INS%*SAL_MINIMO</f>
        <v>0</v>
      </c>
    </row>
    <row r="27" spans="2:6" x14ac:dyDescent="0.3">
      <c r="B27" s="1" t="s">
        <v>7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10</v>
      </c>
      <c r="C28" s="175" t="str">
        <f>OUTROS_REMUNERACAO_2_DESCRICAO</f>
        <v>Outras Remunerações 2 (Especificar)</v>
      </c>
      <c r="D28" s="176"/>
      <c r="E28" s="177"/>
      <c r="F28" s="48">
        <f>OUTROS_REMUNERACAO_2</f>
        <v>0</v>
      </c>
    </row>
    <row r="29" spans="2:6" x14ac:dyDescent="0.3">
      <c r="B29" s="1" t="s">
        <v>11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43</v>
      </c>
      <c r="C30" s="178"/>
      <c r="D30" s="178"/>
      <c r="E30" s="178"/>
      <c r="F30" s="35">
        <f>SUM(F22:F29)</f>
        <v>2475.06</v>
      </c>
    </row>
    <row r="31" spans="2:6" x14ac:dyDescent="0.3">
      <c r="B31" s="45" t="s">
        <v>60</v>
      </c>
      <c r="E31" s="15"/>
      <c r="F31" s="15"/>
    </row>
    <row r="32" spans="2:6" x14ac:dyDescent="0.3">
      <c r="B32" s="45" t="s">
        <v>108</v>
      </c>
      <c r="C32" s="6"/>
      <c r="D32" s="16"/>
      <c r="E32" s="14"/>
      <c r="F32" s="14"/>
    </row>
    <row r="33" spans="2:6" x14ac:dyDescent="0.3">
      <c r="B33" s="1" t="s">
        <v>61</v>
      </c>
      <c r="C33" s="150" t="s">
        <v>90</v>
      </c>
      <c r="D33" s="150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44</v>
      </c>
      <c r="D34" s="165"/>
      <c r="E34" s="50">
        <f>PERC_DEC_TERC</f>
        <v>8.33</v>
      </c>
      <c r="F34" s="49">
        <f>PERC_DEC_TERC%*MOD_1_REMUNERACAO</f>
        <v>206.17</v>
      </c>
    </row>
    <row r="35" spans="2:6" s="11" customFormat="1" x14ac:dyDescent="0.3">
      <c r="B35" s="2" t="s">
        <v>3</v>
      </c>
      <c r="C35" s="163" t="s">
        <v>92</v>
      </c>
      <c r="D35" s="163"/>
      <c r="E35" s="33">
        <f>PERC_ADIC_FERIAS</f>
        <v>2.78</v>
      </c>
      <c r="F35" s="31">
        <f>PERC_ADIC_FERIAS%*MOD_1_REMUNERACAO</f>
        <v>68.81</v>
      </c>
    </row>
    <row r="36" spans="2:6" s="91" customFormat="1" x14ac:dyDescent="0.3">
      <c r="B36" s="141" t="s">
        <v>43</v>
      </c>
      <c r="C36" s="142"/>
      <c r="D36" s="142"/>
      <c r="E36" s="143"/>
      <c r="F36" s="36">
        <f>SUM(F34:F35)</f>
        <v>274.98</v>
      </c>
    </row>
    <row r="37" spans="2:6" s="91" customFormat="1" ht="31.5" customHeight="1" x14ac:dyDescent="0.3">
      <c r="B37" s="179" t="s">
        <v>62</v>
      </c>
      <c r="C37" s="179"/>
      <c r="D37" s="179"/>
      <c r="E37" s="179"/>
      <c r="F37" s="179"/>
    </row>
    <row r="38" spans="2:6" s="91" customFormat="1" ht="34.5" customHeight="1" x14ac:dyDescent="0.3">
      <c r="B38" s="1" t="s">
        <v>63</v>
      </c>
      <c r="C38" s="164" t="s">
        <v>93</v>
      </c>
      <c r="D38" s="164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38</v>
      </c>
      <c r="D39" s="165"/>
      <c r="E39" s="50">
        <f>PERC_INSS</f>
        <v>20</v>
      </c>
      <c r="F39" s="49">
        <f>PERC_INSS%*(MOD_1_REMUNERACAO+SUBMOD_2_1_DEC_TERC_ADIC_FERIAS)</f>
        <v>550.01</v>
      </c>
    </row>
    <row r="40" spans="2:6" s="81" customFormat="1" x14ac:dyDescent="0.15">
      <c r="B40" s="2" t="s">
        <v>3</v>
      </c>
      <c r="C40" s="163" t="s">
        <v>40</v>
      </c>
      <c r="D40" s="163"/>
      <c r="E40" s="40">
        <f>PERC_SAL_EDUCACAO</f>
        <v>2.5</v>
      </c>
      <c r="F40" s="31">
        <f>PERC_SAL_EDUCACAO%*(MOD_1_REMUNERACAO+SUBMOD_2_1_DEC_TERC_ADIC_FERIAS)</f>
        <v>68.75</v>
      </c>
    </row>
    <row r="41" spans="2:6" s="81" customFormat="1" x14ac:dyDescent="0.15">
      <c r="B41" s="2" t="s">
        <v>4</v>
      </c>
      <c r="C41" s="165" t="s">
        <v>86</v>
      </c>
      <c r="D41" s="165"/>
      <c r="E41" s="50">
        <f>PERC_RAT</f>
        <v>3</v>
      </c>
      <c r="F41" s="49">
        <f>PERC_RAT%*(MOD_1_REMUNERACAO+SUBMOD_2_1_DEC_TERC_ADIC_FERIAS)</f>
        <v>82.5</v>
      </c>
    </row>
    <row r="42" spans="2:6" s="81" customFormat="1" x14ac:dyDescent="0.15">
      <c r="B42" s="2" t="s">
        <v>5</v>
      </c>
      <c r="C42" s="163" t="s">
        <v>84</v>
      </c>
      <c r="D42" s="163"/>
      <c r="E42" s="33">
        <f>PERC_SESC</f>
        <v>1.5</v>
      </c>
      <c r="F42" s="31">
        <f>PERC_SESC%*(MOD_1_REMUNERACAO+SUBMOD_2_1_DEC_TERC_ADIC_FERIAS)</f>
        <v>41.25</v>
      </c>
    </row>
    <row r="43" spans="2:6" s="81" customFormat="1" x14ac:dyDescent="0.15">
      <c r="B43" s="2" t="s">
        <v>6</v>
      </c>
      <c r="C43" s="165" t="s">
        <v>85</v>
      </c>
      <c r="D43" s="165"/>
      <c r="E43" s="50">
        <f>PERC_SENAC</f>
        <v>1</v>
      </c>
      <c r="F43" s="49">
        <f>PERC_SENAC%*(MOD_1_REMUNERACAO+SUBMOD_2_1_DEC_TERC_ADIC_FERIAS)</f>
        <v>27.5</v>
      </c>
    </row>
    <row r="44" spans="2:6" s="82" customFormat="1" x14ac:dyDescent="0.15">
      <c r="B44" s="2" t="s">
        <v>7</v>
      </c>
      <c r="C44" s="163" t="s">
        <v>42</v>
      </c>
      <c r="D44" s="163"/>
      <c r="E44" s="40">
        <f>PERC_SEBRAE</f>
        <v>0.6</v>
      </c>
      <c r="F44" s="31">
        <f>PERC_SEBRAE%*(MOD_1_REMUNERACAO+SUBMOD_2_1_DEC_TERC_ADIC_FERIAS)</f>
        <v>16.5</v>
      </c>
    </row>
    <row r="45" spans="2:6" s="82" customFormat="1" x14ac:dyDescent="0.15">
      <c r="B45" s="2" t="s">
        <v>10</v>
      </c>
      <c r="C45" s="165" t="s">
        <v>39</v>
      </c>
      <c r="D45" s="165"/>
      <c r="E45" s="50">
        <f>PERC_INCRA</f>
        <v>0.2</v>
      </c>
      <c r="F45" s="49">
        <f>PERC_INCRA%*(MOD_1_REMUNERACAO+SUBMOD_2_1_DEC_TERC_ADIC_FERIAS)</f>
        <v>5.5</v>
      </c>
    </row>
    <row r="46" spans="2:6" x14ac:dyDescent="0.3">
      <c r="B46" s="2" t="s">
        <v>11</v>
      </c>
      <c r="C46" s="163" t="s">
        <v>41</v>
      </c>
      <c r="D46" s="163"/>
      <c r="E46" s="40">
        <f>PERC_FGTS</f>
        <v>8</v>
      </c>
      <c r="F46" s="31">
        <f>PERC_FGTS%*(MOD_1_REMUNERACAO+SUBMOD_2_1_DEC_TERC_ADIC_FERIAS)</f>
        <v>220</v>
      </c>
    </row>
    <row r="47" spans="2:6" x14ac:dyDescent="0.3">
      <c r="B47" s="141" t="s">
        <v>43</v>
      </c>
      <c r="C47" s="142"/>
      <c r="D47" s="142"/>
      <c r="E47" s="143"/>
      <c r="F47" s="37">
        <f>SUM(F39:F46)</f>
        <v>1012.01</v>
      </c>
    </row>
    <row r="48" spans="2:6" ht="15.75" customHeight="1" x14ac:dyDescent="0.3">
      <c r="B48" s="45" t="s">
        <v>65</v>
      </c>
      <c r="C48" s="82"/>
      <c r="D48" s="82"/>
      <c r="E48" s="82"/>
      <c r="F48" s="82"/>
    </row>
    <row r="49" spans="2:6" ht="15.75" customHeight="1" x14ac:dyDescent="0.3">
      <c r="B49" s="1" t="s">
        <v>87</v>
      </c>
      <c r="C49" s="158" t="s">
        <v>14</v>
      </c>
      <c r="D49" s="158"/>
      <c r="E49" s="158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IF(((TRANSPORTE_POR_DIA*DIAS_TRABALHADOS_NO_MES)-(PERC_DESC_TRANSP_REMUNERACAO%*(AL_1_A_SAL_BASE)))&gt;0,((TRANSPORTE_POR_DIA*DIAS_TRABALHADOS_NO_MES)-(PERC_DESC_TRANSP_REMUNERACAO%*(AL_1_A_SAL_BASE))),0)</f>
        <v>71.5</v>
      </c>
    </row>
    <row r="51" spans="2:6" s="91" customFormat="1" x14ac:dyDescent="0.3">
      <c r="B51" s="19" t="s">
        <v>3</v>
      </c>
      <c r="C51" s="163" t="s">
        <v>64</v>
      </c>
      <c r="D51" s="163"/>
      <c r="E51" s="163"/>
      <c r="F51" s="31">
        <f>ALIMENTACAO_POR_DIA*DIAS_TRABALHADOS_NO_MES</f>
        <v>770</v>
      </c>
    </row>
    <row r="52" spans="2:6" s="91" customFormat="1" x14ac:dyDescent="0.3">
      <c r="B52" s="19" t="s">
        <v>4</v>
      </c>
      <c r="C52" s="175" t="str">
        <f>OUTROS_BENEFICIOS_1_DESCRICAO</f>
        <v>Auxílio Funeral/seguro de vida</v>
      </c>
      <c r="D52" s="176"/>
      <c r="E52" s="177"/>
      <c r="F52" s="49">
        <f>OUTROS_BENEFICIOS_1</f>
        <v>2</v>
      </c>
    </row>
    <row r="53" spans="2:6" s="91" customFormat="1" x14ac:dyDescent="0.3">
      <c r="B53" s="19" t="s">
        <v>5</v>
      </c>
      <c r="C53" s="155" t="str">
        <f>OUTROS_BENEFICIOS_2_DESCRICAO</f>
        <v>Outros Benefícios 2 (Especificar)</v>
      </c>
      <c r="D53" s="156"/>
      <c r="E53" s="157"/>
      <c r="F53" s="31">
        <f>OUTROS_BENEFICIOS_2</f>
        <v>0</v>
      </c>
    </row>
    <row r="54" spans="2:6" s="91" customFormat="1" x14ac:dyDescent="0.3">
      <c r="B54" s="19" t="s">
        <v>6</v>
      </c>
      <c r="C54" s="175" t="str">
        <f>OUTROS_BENEFICIOS_3_DESCRICAO</f>
        <v>Outros Benefícios 3 (Especificar)</v>
      </c>
      <c r="D54" s="176"/>
      <c r="E54" s="177"/>
      <c r="F54" s="49">
        <f>OUTROS_BENEFICIOS_3</f>
        <v>0</v>
      </c>
    </row>
    <row r="55" spans="2:6" s="91" customFormat="1" ht="15" customHeight="1" x14ac:dyDescent="0.3">
      <c r="B55" s="178" t="s">
        <v>43</v>
      </c>
      <c r="C55" s="178"/>
      <c r="D55" s="178"/>
      <c r="E55" s="178"/>
      <c r="F55" s="35">
        <f>SUM(F50:F54)</f>
        <v>843.5</v>
      </c>
    </row>
    <row r="56" spans="2:6" s="91" customFormat="1" x14ac:dyDescent="0.3">
      <c r="B56" s="45" t="s">
        <v>66</v>
      </c>
      <c r="C56" s="6"/>
      <c r="D56" s="16"/>
      <c r="E56" s="14"/>
      <c r="F56" s="14"/>
    </row>
    <row r="57" spans="2:6" s="91" customFormat="1" ht="15" customHeight="1" x14ac:dyDescent="0.3">
      <c r="B57" s="1">
        <v>3</v>
      </c>
      <c r="C57" s="150" t="s">
        <v>45</v>
      </c>
      <c r="D57" s="150"/>
      <c r="E57" s="3" t="s">
        <v>1</v>
      </c>
      <c r="F57" s="3" t="s">
        <v>13</v>
      </c>
    </row>
    <row r="58" spans="2:6" s="91" customFormat="1" x14ac:dyDescent="0.3">
      <c r="B58" s="1" t="s">
        <v>2</v>
      </c>
      <c r="C58" s="166" t="s">
        <v>46</v>
      </c>
      <c r="D58" s="166"/>
      <c r="E58" s="50">
        <f>PERC_AVISO_PREVIO_IND</f>
        <v>0.28999999999999998</v>
      </c>
      <c r="F58" s="49">
        <f>PERC_AVISO_PREVIO_IND%*(MOD_1_REMUNERACAO+SUBMOD_2_1_DEC_TERC_ADIC_FERIAS+AL_2_2_FGTS+SUBMOD_2_3_BENEFICIOS)</f>
        <v>11.06</v>
      </c>
    </row>
    <row r="59" spans="2:6" s="91" customFormat="1" x14ac:dyDescent="0.3">
      <c r="B59" s="2" t="s">
        <v>3</v>
      </c>
      <c r="C59" s="167" t="s">
        <v>47</v>
      </c>
      <c r="D59" s="167"/>
      <c r="E59" s="40">
        <f>PERC_FGTS_AVISO_PREV_IND</f>
        <v>0.02</v>
      </c>
      <c r="F59" s="31">
        <f>PERC_FGTS_AVISO_PREV_IND%*(MOD_1_REMUNERACAO+SUBMOD_2_1_DEC_TERC_ADIC_FERIAS)</f>
        <v>0.55000000000000004</v>
      </c>
    </row>
    <row r="60" spans="2:6" s="81" customFormat="1" ht="34.5" customHeight="1" x14ac:dyDescent="0.15">
      <c r="B60" s="2" t="s">
        <v>4</v>
      </c>
      <c r="C60" s="166" t="s">
        <v>67</v>
      </c>
      <c r="D60" s="166"/>
      <c r="E60" s="50">
        <f>PERC_MULTA_FGTS_AV_PREV_IND</f>
        <v>0.01</v>
      </c>
      <c r="F60" s="49">
        <f>PERC_MULTA_FGTS_AV_PREV_IND%*(MOD_1_REMUNERACAO+SUBMOD_2_1_DEC_TERC_ADIC_FERIAS)</f>
        <v>0.28000000000000003</v>
      </c>
    </row>
    <row r="61" spans="2:6" s="91" customFormat="1" x14ac:dyDescent="0.3">
      <c r="B61" s="2" t="s">
        <v>5</v>
      </c>
      <c r="C61" s="167" t="s">
        <v>48</v>
      </c>
      <c r="D61" s="167"/>
      <c r="E61" s="40">
        <f>PERC_AVISO_PREVIO_TRAB</f>
        <v>1.1599999999999999</v>
      </c>
      <c r="F61" s="31">
        <f>PERC_AVISO_PREVIO_TRAB%*(MOD_1_REMUNERACAO+SUBMOD_2_1_DEC_TERC_ADIC_FERIAS+SUBMOD_2_2_GPS_FGTS+SUBMOD_2_3_BENEFICIOS)</f>
        <v>53.42</v>
      </c>
    </row>
    <row r="62" spans="2:6" s="81" customFormat="1" ht="35.25" customHeight="1" x14ac:dyDescent="0.15">
      <c r="B62" s="2" t="s">
        <v>6</v>
      </c>
      <c r="C62" s="166" t="s">
        <v>107</v>
      </c>
      <c r="D62" s="166"/>
      <c r="E62" s="50">
        <f>PERC_GPS_FGTS_AVISO_PREVIO_TRAB</f>
        <v>0.43</v>
      </c>
      <c r="F62" s="49">
        <f>PERC_GPS_FGTS_AVISO_PREVIO_TRAB%*(MOD_1_REMUNERACAO+SUBMOD_2_1_DEC_TERC_ADIC_FERIAS)</f>
        <v>11.83</v>
      </c>
    </row>
    <row r="63" spans="2:6" s="81" customFormat="1" ht="32.25" customHeight="1" x14ac:dyDescent="0.15">
      <c r="B63" s="2" t="s">
        <v>7</v>
      </c>
      <c r="C63" s="167" t="s">
        <v>68</v>
      </c>
      <c r="D63" s="167"/>
      <c r="E63" s="40">
        <f>PERC_MULTA_FGTS_AV_PREV_TRAB</f>
        <v>0.05</v>
      </c>
      <c r="F63" s="31">
        <f>PERC_MULTA_FGTS_AV_PREV_TRAB%*(MOD_1_REMUNERACAO+SUBMOD_2_1_DEC_TERC_ADIC_FERIAS)</f>
        <v>1.38</v>
      </c>
    </row>
    <row r="64" spans="2:6" s="81" customFormat="1" x14ac:dyDescent="0.3">
      <c r="B64" s="141" t="s">
        <v>43</v>
      </c>
      <c r="C64" s="142"/>
      <c r="D64" s="142"/>
      <c r="E64" s="143"/>
      <c r="F64" s="36">
        <f>SUM(F58:F63)</f>
        <v>78.52</v>
      </c>
    </row>
    <row r="65" spans="2:6" ht="7.5" customHeight="1" x14ac:dyDescent="0.3">
      <c r="B65" s="10"/>
      <c r="C65" s="11"/>
      <c r="D65" s="12"/>
      <c r="E65" s="8"/>
      <c r="F65" s="8"/>
    </row>
    <row r="66" spans="2:6" s="81" customFormat="1" ht="15.95" customHeight="1" x14ac:dyDescent="0.3">
      <c r="B66" s="45" t="s">
        <v>69</v>
      </c>
      <c r="C66" s="6"/>
      <c r="D66" s="16"/>
      <c r="E66" s="7"/>
      <c r="F66" s="7"/>
    </row>
    <row r="67" spans="2:6" s="81" customFormat="1" ht="15.95" customHeight="1" x14ac:dyDescent="0.3">
      <c r="B67" s="45" t="s">
        <v>99</v>
      </c>
      <c r="C67" s="6"/>
      <c r="D67" s="16"/>
      <c r="E67" s="14"/>
      <c r="F67" s="14"/>
    </row>
    <row r="68" spans="2:6" s="81" customFormat="1" x14ac:dyDescent="0.15">
      <c r="B68" s="1" t="s">
        <v>20</v>
      </c>
      <c r="C68" s="169" t="s">
        <v>100</v>
      </c>
      <c r="D68" s="169"/>
      <c r="E68" s="3" t="s">
        <v>1</v>
      </c>
      <c r="F68" s="3" t="s">
        <v>13</v>
      </c>
    </row>
    <row r="69" spans="2:6" s="81" customFormat="1" ht="15.95" customHeight="1" x14ac:dyDescent="0.15">
      <c r="B69" s="2" t="s">
        <v>2</v>
      </c>
      <c r="C69" s="165" t="s">
        <v>101</v>
      </c>
      <c r="D69" s="165"/>
      <c r="E69" s="50">
        <f>PERC_SUBSTITUTO_FERIAS</f>
        <v>8.33</v>
      </c>
      <c r="F69" s="49">
        <f>PERC_SUBSTITUTO_FERIAS%*(MOD_1_REMUNERACAO+MOD_2_ENCARGOS_BENEFICIOS+MOD_3_PROVISAO_RESCISAO)</f>
        <v>390.18</v>
      </c>
    </row>
    <row r="70" spans="2:6" s="81" customFormat="1" ht="15.95" customHeight="1" x14ac:dyDescent="0.15">
      <c r="B70" s="2" t="s">
        <v>3</v>
      </c>
      <c r="C70" s="163" t="s">
        <v>102</v>
      </c>
      <c r="D70" s="163"/>
      <c r="E70" s="40">
        <f>PERC_SUBSTITUTO_AUSENCIAS_LEGAIS</f>
        <v>2.2200000000000002</v>
      </c>
      <c r="F70" s="31">
        <f>PERC_SUBSTITUTO_AUSENCIAS_LEGAIS%*(MOD_1_REMUNERACAO+MOD_2_ENCARGOS_BENEFICIOS+MOD_3_PROVISAO_RESCISAO)</f>
        <v>103.99</v>
      </c>
    </row>
    <row r="71" spans="2:6" s="81" customFormat="1" ht="15.95" customHeight="1" x14ac:dyDescent="0.15">
      <c r="B71" s="2" t="s">
        <v>4</v>
      </c>
      <c r="C71" s="165" t="s">
        <v>103</v>
      </c>
      <c r="D71" s="165"/>
      <c r="E71" s="50">
        <f>PERC_SUBSTITUTO_LICENCA_PATERNIDADE</f>
        <v>0.04</v>
      </c>
      <c r="F71" s="49">
        <f>PERC_SUBSTITUTO_LICENCA_PATERNIDADE%*(MOD_1_REMUNERACAO+MOD_2_ENCARGOS_BENEFICIOS+MOD_3_PROVISAO_RESCISAO)</f>
        <v>1.87</v>
      </c>
    </row>
    <row r="72" spans="2:6" s="81" customFormat="1" x14ac:dyDescent="0.15">
      <c r="B72" s="2" t="s">
        <v>5</v>
      </c>
      <c r="C72" s="163" t="s">
        <v>104</v>
      </c>
      <c r="D72" s="163"/>
      <c r="E72" s="40">
        <f>PERC_SUBSTITUTO_ACID_TRAB</f>
        <v>0.02</v>
      </c>
      <c r="F72" s="31">
        <f>PERC_SUBSTITUTO_ACID_TRAB%*(MOD_1_REMUNERACAO+MOD_2_ENCARGOS_BENEFICIOS+MOD_3_PROVISAO_RESCISAO)</f>
        <v>0.94</v>
      </c>
    </row>
    <row r="73" spans="2:6" s="81" customFormat="1" x14ac:dyDescent="0.15">
      <c r="B73" s="2" t="s">
        <v>6</v>
      </c>
      <c r="C73" s="165" t="s">
        <v>105</v>
      </c>
      <c r="D73" s="165"/>
      <c r="E73" s="50">
        <f>PERC_SUBSTITUTO_AFAST_MATERN</f>
        <v>0.14000000000000001</v>
      </c>
      <c r="F73" s="49">
        <f>PERC_SUBSTITUTO_AFAST_MATERN%*(MOD_1_REMUNERACAO+MOD_2_ENCARGOS_BENEFICIOS+MOD_3_PROVISAO_RESCISAO)</f>
        <v>6.56</v>
      </c>
    </row>
    <row r="74" spans="2:6" s="81" customFormat="1" x14ac:dyDescent="0.15">
      <c r="B74" s="2" t="s">
        <v>7</v>
      </c>
      <c r="C74" s="173" t="str">
        <f>OUTRAS_AUSENCIAS_DESCRICAO</f>
        <v>Outras Ausências (Especificar - em %)</v>
      </c>
      <c r="D74" s="163"/>
      <c r="E74" s="47">
        <f>PERC_SUBSTITUTO_OUTRAS_AUSENCIAS</f>
        <v>0</v>
      </c>
      <c r="F74" s="31">
        <f>PERC_SUBSTITUTO_OUTRAS_AUSENCIAS%*(MOD_1_REMUNERACAO+MOD_2_ENCARGOS_BENEFICIOS+MOD_3_PROVISAO_RESCISAO)</f>
        <v>0</v>
      </c>
    </row>
    <row r="75" spans="2:6" s="81" customFormat="1" x14ac:dyDescent="0.3">
      <c r="B75" s="141" t="s">
        <v>43</v>
      </c>
      <c r="C75" s="142"/>
      <c r="D75" s="142"/>
      <c r="E75" s="143"/>
      <c r="F75" s="36">
        <f>SUM(F69:F74)</f>
        <v>503.54</v>
      </c>
    </row>
    <row r="76" spans="2:6" s="81" customFormat="1" ht="15" customHeight="1" x14ac:dyDescent="0.3">
      <c r="B76" s="45" t="s">
        <v>189</v>
      </c>
      <c r="C76" s="6"/>
      <c r="D76" s="16"/>
      <c r="E76" s="14"/>
      <c r="F76" s="14"/>
    </row>
    <row r="77" spans="2:6" s="81" customFormat="1" x14ac:dyDescent="0.15">
      <c r="B77" s="1" t="s">
        <v>21</v>
      </c>
      <c r="C77" s="150" t="s">
        <v>188</v>
      </c>
      <c r="D77" s="150"/>
      <c r="E77" s="150"/>
      <c r="F77" s="3" t="s">
        <v>13</v>
      </c>
    </row>
    <row r="78" spans="2:6" s="81" customFormat="1" x14ac:dyDescent="0.15">
      <c r="B78" s="1" t="s">
        <v>2</v>
      </c>
      <c r="C78" s="165" t="s">
        <v>106</v>
      </c>
      <c r="D78" s="165"/>
      <c r="E78" s="165"/>
      <c r="F78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81" customFormat="1" x14ac:dyDescent="0.3">
      <c r="B79" s="150" t="s">
        <v>43</v>
      </c>
      <c r="C79" s="150"/>
      <c r="D79" s="150"/>
      <c r="E79" s="150"/>
      <c r="F79" s="36">
        <f>SUM(F78)</f>
        <v>0</v>
      </c>
    </row>
    <row r="80" spans="2:6" ht="7.5" customHeight="1" x14ac:dyDescent="0.3">
      <c r="B80" s="10"/>
      <c r="C80" s="11"/>
      <c r="D80" s="12"/>
      <c r="E80" s="8"/>
      <c r="F80" s="8"/>
    </row>
    <row r="81" spans="2:6" x14ac:dyDescent="0.3">
      <c r="B81" s="45" t="s">
        <v>73</v>
      </c>
      <c r="C81" s="6"/>
      <c r="D81" s="6"/>
      <c r="E81" s="14"/>
      <c r="F81" s="14"/>
    </row>
    <row r="82" spans="2:6" ht="15.75" customHeight="1" x14ac:dyDescent="0.3">
      <c r="B82" s="43">
        <v>5</v>
      </c>
      <c r="C82" s="144" t="s">
        <v>0</v>
      </c>
      <c r="D82" s="144"/>
      <c r="E82" s="144"/>
      <c r="F82" s="44" t="s">
        <v>13</v>
      </c>
    </row>
    <row r="83" spans="2:6" x14ac:dyDescent="0.3">
      <c r="B83" s="39" t="s">
        <v>2</v>
      </c>
      <c r="C83" s="145" t="s">
        <v>16</v>
      </c>
      <c r="D83" s="145"/>
      <c r="E83" s="145"/>
      <c r="F83" s="51">
        <f>UNIFORMES</f>
        <v>254.07</v>
      </c>
    </row>
    <row r="84" spans="2:6" x14ac:dyDescent="0.3">
      <c r="B84" s="39" t="s">
        <v>3</v>
      </c>
      <c r="C84" s="146" t="s">
        <v>18</v>
      </c>
      <c r="D84" s="146"/>
      <c r="E84" s="146"/>
      <c r="F84" s="41">
        <f>MATERIAIS</f>
        <v>0</v>
      </c>
    </row>
    <row r="85" spans="2:6" x14ac:dyDescent="0.3">
      <c r="B85" s="39" t="s">
        <v>4</v>
      </c>
      <c r="C85" s="145" t="s">
        <v>17</v>
      </c>
      <c r="D85" s="145"/>
      <c r="E85" s="145"/>
      <c r="F85" s="51">
        <f>EQUIPAMENTOS</f>
        <v>0</v>
      </c>
    </row>
    <row r="86" spans="2:6" x14ac:dyDescent="0.3">
      <c r="B86" s="39" t="s">
        <v>5</v>
      </c>
      <c r="C86" s="174" t="str">
        <f>OUTROS_INSUMOS_DESCRICAO</f>
        <v>Outros (Especificar)</v>
      </c>
      <c r="D86" s="146"/>
      <c r="E86" s="146"/>
      <c r="F86" s="41">
        <f>OUTROS_INSUMOS</f>
        <v>0</v>
      </c>
    </row>
    <row r="87" spans="2:6" x14ac:dyDescent="0.3">
      <c r="B87" s="172" t="s">
        <v>43</v>
      </c>
      <c r="C87" s="172"/>
      <c r="D87" s="172"/>
      <c r="E87" s="172"/>
      <c r="F87" s="38">
        <f>SUM(F83:F86)</f>
        <v>254.07</v>
      </c>
    </row>
    <row r="88" spans="2:6" ht="7.5" customHeight="1" x14ac:dyDescent="0.3">
      <c r="B88" s="10"/>
      <c r="C88" s="11"/>
      <c r="D88" s="12"/>
      <c r="E88" s="8"/>
      <c r="F88" s="8"/>
    </row>
    <row r="89" spans="2:6" ht="15" customHeight="1" x14ac:dyDescent="0.3">
      <c r="B89" s="138" t="s">
        <v>72</v>
      </c>
      <c r="C89" s="138"/>
      <c r="D89" s="138"/>
      <c r="E89" s="138"/>
      <c r="F89" s="138"/>
    </row>
    <row r="90" spans="2:6" x14ac:dyDescent="0.3">
      <c r="B90" s="1">
        <v>6</v>
      </c>
      <c r="C90" s="150" t="s">
        <v>22</v>
      </c>
      <c r="D90" s="150"/>
      <c r="E90" s="3" t="s">
        <v>1</v>
      </c>
      <c r="F90" s="3" t="s">
        <v>13</v>
      </c>
    </row>
    <row r="91" spans="2:6" x14ac:dyDescent="0.3">
      <c r="B91" s="1" t="s">
        <v>2</v>
      </c>
      <c r="C91" s="165" t="s">
        <v>74</v>
      </c>
      <c r="D91" s="165"/>
      <c r="E91" s="52">
        <f>PERC_CUSTOS_INDIRETOS</f>
        <v>4.7300000000000004</v>
      </c>
      <c r="F91" s="49">
        <f>PERC_CUSTOS_INDIRETOS%*(MOD_1_REMUNERACAO+MOD_2_ENCARGOS_BENEFICIOS+MOD_3_PROVISAO_RESCISAO+MOD_4_CUSTO_REPOSICAO+MOD_5_INSUMOS)</f>
        <v>257.39</v>
      </c>
    </row>
    <row r="92" spans="2:6" ht="15.75" customHeight="1" x14ac:dyDescent="0.3">
      <c r="B92" s="2" t="s">
        <v>3</v>
      </c>
      <c r="C92" s="163" t="s">
        <v>29</v>
      </c>
      <c r="D92" s="163"/>
      <c r="E92" s="42">
        <f>PERC_LUCRO</f>
        <v>5.57</v>
      </c>
      <c r="F92" s="31">
        <f>PERC_LUCRO%*(MOD_1_REMUNERACAO+MOD_2_ENCARGOS_BENEFICIOS+MOD_3_PROVISAO_RESCISAO+MOD_4_CUSTO_REPOSICAO+MOD_5_INSUMOS+AL_6_A_CUSTOS_INDIRETOS)</f>
        <v>317.44</v>
      </c>
    </row>
    <row r="93" spans="2:6" x14ac:dyDescent="0.3">
      <c r="B93" s="2" t="s">
        <v>4</v>
      </c>
      <c r="C93" s="165" t="s">
        <v>23</v>
      </c>
      <c r="D93" s="165"/>
      <c r="E93" s="52">
        <f>SUM(E94:E96)</f>
        <v>8.65</v>
      </c>
      <c r="F93" s="49">
        <f>SUM(F94:F96)</f>
        <v>569.71</v>
      </c>
    </row>
    <row r="94" spans="2:6" ht="15.75" customHeight="1" x14ac:dyDescent="0.3">
      <c r="B94" s="25" t="s">
        <v>75</v>
      </c>
      <c r="C94" s="170" t="s">
        <v>24</v>
      </c>
      <c r="D94" s="170"/>
      <c r="E94" s="26">
        <f>PERC_PIS</f>
        <v>0.65</v>
      </c>
      <c r="F94" s="54">
        <f>((MOD_1_REMUNERACAO+MOD_2_ENCARGOS_BENEFICIOS+MOD_3_PROVISAO_RESCISAO+MOD_4_CUSTO_REPOSICAO+MOD_5_INSUMOS+AL_6_A_CUSTOS_INDIRETOS+AL_6_B_LUCRO)*PERC_PIS%)/(1-PERC_TRIBUTOS%)</f>
        <v>42.81</v>
      </c>
    </row>
    <row r="95" spans="2:6" x14ac:dyDescent="0.3">
      <c r="B95" s="25" t="s">
        <v>76</v>
      </c>
      <c r="C95" s="171" t="s">
        <v>25</v>
      </c>
      <c r="D95" s="171"/>
      <c r="E95" s="53">
        <f>PERC_COFINS</f>
        <v>3</v>
      </c>
      <c r="F95" s="55">
        <f>((MOD_1_REMUNERACAO+MOD_2_ENCARGOS_BENEFICIOS+MOD_3_PROVISAO_RESCISAO+MOD_4_CUSTO_REPOSICAO+MOD_5_INSUMOS+AL_6_A_CUSTOS_INDIRETOS+AL_6_B_LUCRO)*PERC_COFINS%)/(1-PERC_TRIBUTOS%)</f>
        <v>197.59</v>
      </c>
    </row>
    <row r="96" spans="2:6" s="92" customFormat="1" x14ac:dyDescent="0.3">
      <c r="B96" s="25" t="s">
        <v>77</v>
      </c>
      <c r="C96" s="170" t="s">
        <v>26</v>
      </c>
      <c r="D96" s="170"/>
      <c r="E96" s="26">
        <f>PERC_ISS</f>
        <v>5</v>
      </c>
      <c r="F96" s="54">
        <f>((MOD_1_REMUNERACAO+MOD_2_ENCARGOS_BENEFICIOS+MOD_3_PROVISAO_RESCISAO+MOD_4_CUSTO_REPOSICAO+MOD_5_INSUMOS+AL_6_A_CUSTOS_INDIRETOS+AL_6_B_LUCRO)*PERC_ISS%)/(1-PERC_TRIBUTOS%)</f>
        <v>329.31</v>
      </c>
    </row>
    <row r="97" spans="2:6" s="92" customFormat="1" x14ac:dyDescent="0.3">
      <c r="B97" s="141" t="s">
        <v>43</v>
      </c>
      <c r="C97" s="142"/>
      <c r="D97" s="142"/>
      <c r="E97" s="143"/>
      <c r="F97" s="32">
        <f>AL_6_A_CUSTOS_INDIRETOS+AL_6_B_LUCRO+AL_6_C_TRIBUTOS</f>
        <v>1144.54</v>
      </c>
    </row>
    <row r="98" spans="2:6" s="92" customFormat="1" ht="20.25" x14ac:dyDescent="0.3">
      <c r="B98" s="46" t="s">
        <v>51</v>
      </c>
      <c r="C98" s="9"/>
      <c r="D98" s="9"/>
      <c r="E98" s="9"/>
      <c r="F98" s="17"/>
    </row>
    <row r="99" spans="2:6" s="93" customFormat="1" ht="16.5" customHeight="1" x14ac:dyDescent="0.3">
      <c r="B99" s="2" t="s">
        <v>95</v>
      </c>
      <c r="C99" s="152" t="s">
        <v>96</v>
      </c>
      <c r="D99" s="153"/>
      <c r="E99" s="154"/>
      <c r="F99" s="3" t="s">
        <v>19</v>
      </c>
    </row>
    <row r="100" spans="2:6" s="92" customFormat="1" x14ac:dyDescent="0.3">
      <c r="B100" s="1">
        <v>1</v>
      </c>
      <c r="C100" s="165" t="s">
        <v>9</v>
      </c>
      <c r="D100" s="165"/>
      <c r="E100" s="165"/>
      <c r="F100" s="49">
        <f>MOD_1_REMUNERACAO</f>
        <v>2475.06</v>
      </c>
    </row>
    <row r="101" spans="2:6" s="94" customFormat="1" ht="16.5" customHeight="1" x14ac:dyDescent="0.3">
      <c r="B101" s="2">
        <v>2</v>
      </c>
      <c r="C101" s="163" t="s">
        <v>97</v>
      </c>
      <c r="D101" s="163"/>
      <c r="E101" s="163"/>
      <c r="F101" s="31">
        <f>MOD_2_ENCARGOS_BENEFICIOS</f>
        <v>2130.4899999999998</v>
      </c>
    </row>
    <row r="102" spans="2:6" s="94" customFormat="1" x14ac:dyDescent="0.3">
      <c r="B102" s="2">
        <v>3</v>
      </c>
      <c r="C102" s="165" t="s">
        <v>45</v>
      </c>
      <c r="D102" s="165"/>
      <c r="E102" s="165"/>
      <c r="F102" s="49">
        <f>MOD_3_PROVISAO_RESCISAO</f>
        <v>78.52</v>
      </c>
    </row>
    <row r="103" spans="2:6" s="94" customFormat="1" x14ac:dyDescent="0.3">
      <c r="B103" s="2">
        <v>4</v>
      </c>
      <c r="C103" s="163" t="s">
        <v>49</v>
      </c>
      <c r="D103" s="163"/>
      <c r="E103" s="163"/>
      <c r="F103" s="31">
        <f>MOD_4_CUSTO_REPOSICAO</f>
        <v>503.54</v>
      </c>
    </row>
    <row r="104" spans="2:6" s="94" customFormat="1" x14ac:dyDescent="0.3">
      <c r="B104" s="2">
        <v>5</v>
      </c>
      <c r="C104" s="165" t="s">
        <v>0</v>
      </c>
      <c r="D104" s="165"/>
      <c r="E104" s="165"/>
      <c r="F104" s="49">
        <f>MOD_5_INSUMOS</f>
        <v>254.07</v>
      </c>
    </row>
    <row r="105" spans="2:6" s="94" customFormat="1" x14ac:dyDescent="0.3">
      <c r="B105" s="2">
        <v>6</v>
      </c>
      <c r="C105" s="163" t="s">
        <v>22</v>
      </c>
      <c r="D105" s="163"/>
      <c r="E105" s="163"/>
      <c r="F105" s="31">
        <f>MOD_6_CUSTOS_IND_LUCRO_TRIB</f>
        <v>1144.54</v>
      </c>
    </row>
    <row r="106" spans="2:6" ht="16.5" customHeight="1" x14ac:dyDescent="0.3">
      <c r="B106" s="169" t="s">
        <v>98</v>
      </c>
      <c r="C106" s="169"/>
      <c r="D106" s="169"/>
      <c r="E106" s="169"/>
      <c r="F106" s="32">
        <f>SUM(F100:F105)</f>
        <v>6586.22</v>
      </c>
    </row>
    <row r="107" spans="2:6" ht="16.5" customHeight="1" x14ac:dyDescent="0.3">
      <c r="B107" s="169" t="s">
        <v>28</v>
      </c>
      <c r="C107" s="169"/>
      <c r="D107" s="169"/>
      <c r="E107" s="169"/>
      <c r="F107" s="32">
        <f>VALOR_TOTAL_EMPREGADO*EMPREG_POR_POSTO</f>
        <v>0</v>
      </c>
    </row>
    <row r="108" spans="2:6" x14ac:dyDescent="0.3">
      <c r="B108" s="169" t="s">
        <v>162</v>
      </c>
      <c r="C108" s="169"/>
      <c r="D108" s="169"/>
      <c r="E108" s="169"/>
      <c r="F108" s="32">
        <f>VALOR_TOTAL_EMPREGADO*EMPREG_POR_POSTO*QTDE_POSTOS</f>
        <v>0</v>
      </c>
    </row>
  </sheetData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72:D72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B87:E87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C101:E101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B108:E108"/>
    <mergeCell ref="C102:E102"/>
    <mergeCell ref="C103:E103"/>
    <mergeCell ref="C104:E104"/>
    <mergeCell ref="C105:E105"/>
    <mergeCell ref="B106:E106"/>
    <mergeCell ref="B107:E107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2020-01-10T18:38:44Z</dcterms:modified>
</cp:coreProperties>
</file>