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5316C655-EC79-4007-B8F0-BCDDDEA2597B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<sst xmlns="http://schemas.openxmlformats.org/spreadsheetml/2006/main" count="424" uniqueCount="191">
  <si>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</si>
  <si>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</si>
  <si>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</si>
  <si>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</si>
  <si>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</si>
  <si>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</si>
  <si>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</si>
  <si>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</si>
  <si>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</si>
  <si>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</si>
  <si>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</si>
  <si>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</si>
  <si>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</si>
  <si>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</si>
  <si>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</si>
  <si>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</si>
  <si>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</si>
  <si>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</si>
  <si>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</si>
  <si>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</si>
  <si>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</si>
  <si>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</si>
  <si>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</si>
  <si>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</si>
  <si>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</si>
  <si>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</si>
  <si>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</si>
  <si>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</si>
  <si>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</si>
  <si>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</si>
  <si>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</si>
  <si>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</si>
  <si>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</si>
  <si>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</si>
  <si>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</si>
  <si>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</si>
  <si>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</si>
  <si>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</si>
  <si>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</si>
  <si>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</si>
  <si>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</si>
  <si>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</si>
  <si>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</si>
  <si>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</si>
  <si>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</si>
  <si>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</si>
  <si>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</si>
  <si>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</si>
  <si>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</si>
  <si>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</si>
  <si>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</si>
  <si>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</si>
  <si>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</si>
  <si>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</si>
  <si>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</si>
  <si>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</si>
  <si>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</si>
  <si>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</si>
  <si>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</si>
  <si>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</si>
  <si>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</si>
  <si>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</si>
  <si>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</si>
  <si>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</si>
  <si>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</si>
  <si>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</si>
  <si>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</si>
  <si>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</si>
  <si>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</si>
  <si>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</si>
  <si>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</si>
  <si>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</si>
  <si>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</si>
  <si>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</si>
  <si>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</si>
  <si>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</si>
  <si>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</si>
  <si>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</si>
  <si>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</si>
  <si>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</si>
  <si>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</si>
  <si>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</si>
  <si>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</si>
  <si>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</si>
  <si>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</si>
  <si>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</si>
  <si>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</si>
  <si>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</si>
  <si>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</si>
  <si>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</si>
  <si>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</si>
  <si>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</si>
  <si>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</si>
  <si>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</si>
  <si>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</si>
  <si>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</si>
  <si>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</si>
  <si>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</si>
  <si>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</si>
  <si>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</si>
  <si>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</si>
  <si>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</si>
  <si>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</si>
  <si>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</si>
  <si>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</si>
  <si>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</si>
  <si>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</si>
  <si>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</si>
  <si>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</si>
  <si>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</si>
  <si>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</si>
  <si>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</si>
  <si>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</si>
  <si>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</si>
  <si>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</si>
  <si>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</si>
  <si>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</si>
  <si>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</si>
  <si>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</si>
  <si>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</si>
  <si>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</si>
  <si>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</si>
  <si>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</si>
  <si>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</si>
  <si>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</si>
  <si>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</si>
  <si>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</si>
  <si>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</si>
  <si>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</si>
  <si>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</si>
  <si>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</si>
  <si>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</si>
  <si>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</si>
  <si>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</si>
  <si>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</si>
  <si>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</si>
  <si>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</si>
  <si>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</si>
  <si>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</si>
  <si>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</si>
  <si>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</si>
  <si>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</si>
  <si>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</si>
  <si>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</si>
  <si>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</si>
  <si>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</si>
  <si>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</si>
  <si>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</si>
  <si>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</si>
  <si>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</si>
  <si>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</si>
  <si>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</si>
  <si>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</si>
  <si>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</si>
  <si>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</si>
  <si>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</si>
  <si>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</si>
  <si>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</si>
  <si>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</si>
  <si>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</si>
  <si>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</si>
  <si>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</si>
  <si>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</si>
  <si>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</si>
  <si>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</si>
  <si>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</si>
  <si>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</si>
  <si>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</si>
  <si>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</si>
  <si>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</si>
  <si>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</si>
  <si>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</si>
  <si>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</si>
  <si>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</si>
  <si>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</si>
  <si>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</si>
  <si>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</si>
  <si>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</si>
  <si>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</si>
  <si>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</si>
  <si>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</si>
  <si>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</si>
  <si>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</si>
  <si>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</si>
  <si>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</si>
  <si>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</si>
  <si>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Outros Benefícios 2 - Auxílio Funeral</t>
  </si>
  <si>
    <t>EPI</t>
  </si>
  <si>
    <t xml:space="preserve">EPI </t>
  </si>
  <si>
    <t>AUXILIAR ADMINISTRATIVO</t>
  </si>
  <si>
    <t>4110-05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</si>
</sst>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61" workbookViewId="0">
      <selection activeCell="G19" sqref="G19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181</v>
      </c>
      <c r="C1" s="121"/>
      <c r="D1" s="121"/>
      <c r="E1" s="121"/>
      <c r="F1" s="122"/>
    </row>
    <row r="2" spans="1:6" ht="20.25" x14ac:dyDescent="0.35">
      <c r="B2" s="120" t="s">
        <v>183</v>
      </c>
      <c r="C2" s="121"/>
      <c r="D2" s="122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23" t="s">
        <v>154</v>
      </c>
      <c r="C4" s="123"/>
      <c r="D4" s="123"/>
      <c r="E4" s="123"/>
      <c r="F4" s="123"/>
    </row>
    <row r="5" spans="1:6" s="80" customFormat="1" ht="15.95" customHeight="1" x14ac:dyDescent="0.3">
      <c r="B5" s="112" t="s">
        <v>89</v>
      </c>
      <c r="C5" s="112"/>
      <c r="D5" s="112"/>
      <c r="E5" s="112"/>
      <c r="F5" s="112"/>
    </row>
    <row r="6" spans="1:6" s="80" customFormat="1" ht="15.95" customHeight="1" x14ac:dyDescent="0.3">
      <c r="B6" s="115" t="s">
        <v>29</v>
      </c>
      <c r="C6" s="115"/>
      <c r="D6" s="124" t="s">
        <v>182</v>
      </c>
      <c r="E6" s="124"/>
      <c r="F6" s="124"/>
    </row>
    <row r="7" spans="1:6" s="80" customFormat="1" ht="15.75" customHeight="1" x14ac:dyDescent="0.3">
      <c r="B7" s="113" t="s">
        <v>30</v>
      </c>
      <c r="C7" s="113"/>
      <c r="D7" s="114" t="s">
        <v>31</v>
      </c>
      <c r="E7" s="114"/>
      <c r="F7" s="18" t="s">
        <v>144</v>
      </c>
    </row>
    <row r="8" spans="1:6" s="80" customFormat="1" ht="15.75" customHeight="1" x14ac:dyDescent="0.3">
      <c r="B8" s="115" t="s">
        <v>104</v>
      </c>
      <c r="C8" s="115"/>
      <c r="D8" s="110" t="s">
        <v>143</v>
      </c>
      <c r="E8" s="111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2" t="s">
        <v>103</v>
      </c>
      <c r="C10" s="112"/>
      <c r="D10" s="112"/>
      <c r="E10" s="112"/>
      <c r="F10" s="112"/>
    </row>
    <row r="11" spans="1:6" s="80" customFormat="1" ht="18" customHeight="1" x14ac:dyDescent="0.3">
      <c r="B11" s="19" t="s">
        <v>2</v>
      </c>
      <c r="C11" s="115" t="s">
        <v>56</v>
      </c>
      <c r="D11" s="115"/>
      <c r="E11" s="115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16"/>
      <c r="E12" s="116"/>
      <c r="F12" s="116"/>
    </row>
    <row r="13" spans="1:6" s="80" customFormat="1" ht="15.95" customHeight="1" x14ac:dyDescent="0.3">
      <c r="B13" s="19" t="s">
        <v>4</v>
      </c>
      <c r="C13" s="115" t="s">
        <v>137</v>
      </c>
      <c r="D13" s="115"/>
      <c r="E13" s="115"/>
      <c r="F13" s="60"/>
    </row>
    <row r="14" spans="1:6" s="80" customFormat="1" ht="18.75" customHeight="1" x14ac:dyDescent="0.3">
      <c r="B14" s="1" t="s">
        <v>5</v>
      </c>
      <c r="C14" s="117" t="s">
        <v>33</v>
      </c>
      <c r="D14" s="118"/>
      <c r="E14" s="119"/>
      <c r="F14" s="18" t="s">
        <v>144</v>
      </c>
    </row>
    <row r="15" spans="1:6" s="80" customFormat="1" ht="15.95" customHeight="1" x14ac:dyDescent="0.3">
      <c r="B15" s="1" t="s">
        <v>6</v>
      </c>
      <c r="C15" s="115" t="s">
        <v>57</v>
      </c>
      <c r="D15" s="115"/>
      <c r="E15" s="115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2" t="s">
        <v>105</v>
      </c>
      <c r="C17" s="112"/>
      <c r="D17" s="112"/>
      <c r="E17" s="112"/>
      <c r="F17" s="112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28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2" t="s">
        <v>108</v>
      </c>
      <c r="C21" s="112"/>
      <c r="D21" s="112"/>
      <c r="E21" s="112"/>
      <c r="F21" s="112"/>
    </row>
    <row r="22" spans="1:6" s="80" customFormat="1" ht="15" customHeight="1" x14ac:dyDescent="0.3">
      <c r="A22" s="81"/>
      <c r="B22" s="19">
        <v>1</v>
      </c>
      <c r="C22" s="103" t="s">
        <v>52</v>
      </c>
      <c r="D22" s="129" t="s">
        <v>190</v>
      </c>
      <c r="E22" s="129"/>
      <c r="F22" s="129"/>
    </row>
    <row r="23" spans="1:6" s="80" customFormat="1" ht="15.95" customHeight="1" x14ac:dyDescent="0.3">
      <c r="B23" s="19">
        <v>2</v>
      </c>
      <c r="C23" s="21" t="s">
        <v>54</v>
      </c>
      <c r="D23" s="129"/>
      <c r="E23" s="129"/>
      <c r="F23" s="129"/>
    </row>
    <row r="24" spans="1:6" s="80" customFormat="1" ht="15.95" customHeight="1" x14ac:dyDescent="0.3">
      <c r="B24" s="19">
        <v>3</v>
      </c>
      <c r="C24" s="125" t="s">
        <v>55</v>
      </c>
      <c r="D24" s="125"/>
      <c r="E24" s="125"/>
      <c r="F24" s="20">
        <v>44197</v>
      </c>
    </row>
    <row r="25" spans="1:6" s="80" customFormat="1" ht="15.95" customHeight="1" x14ac:dyDescent="0.3">
      <c r="B25" s="19">
        <v>4</v>
      </c>
      <c r="C25" s="128" t="s">
        <v>131</v>
      </c>
      <c r="D25" s="128"/>
      <c r="E25" s="128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8" t="s">
        <v>9</v>
      </c>
      <c r="D29" s="158"/>
      <c r="E29" s="158"/>
      <c r="F29" s="3" t="s">
        <v>113</v>
      </c>
    </row>
    <row r="30" spans="1:6" x14ac:dyDescent="0.3">
      <c r="B30" s="1" t="s">
        <v>2</v>
      </c>
      <c r="C30" s="151" t="s">
        <v>83</v>
      </c>
      <c r="D30" s="151"/>
      <c r="E30" s="151"/>
      <c r="F30" s="67">
        <v>1331.14</v>
      </c>
    </row>
    <row r="31" spans="1:6" x14ac:dyDescent="0.3">
      <c r="B31" s="1" t="s">
        <v>3</v>
      </c>
      <c r="C31" s="135" t="s">
        <v>74</v>
      </c>
      <c r="D31" s="136"/>
      <c r="E31" s="137"/>
      <c r="F31" s="68"/>
    </row>
    <row r="32" spans="1:6" x14ac:dyDescent="0.3">
      <c r="B32" s="1" t="s">
        <v>4</v>
      </c>
      <c r="C32" s="151" t="s">
        <v>76</v>
      </c>
      <c r="D32" s="151"/>
      <c r="E32" s="151"/>
      <c r="F32" s="68"/>
    </row>
    <row r="33" spans="1:6" x14ac:dyDescent="0.3">
      <c r="B33" s="1" t="s">
        <v>5</v>
      </c>
      <c r="C33" s="155" t="s">
        <v>149</v>
      </c>
      <c r="D33" s="156"/>
      <c r="E33" s="157"/>
      <c r="F33" s="68"/>
    </row>
    <row r="34" spans="1:6" x14ac:dyDescent="0.3">
      <c r="B34" s="1" t="s">
        <v>6</v>
      </c>
      <c r="C34" s="130" t="s">
        <v>139</v>
      </c>
      <c r="D34" s="130"/>
      <c r="E34" s="130"/>
      <c r="F34" s="67"/>
    </row>
    <row r="35" spans="1:6" x14ac:dyDescent="0.3">
      <c r="B35" s="1" t="s">
        <v>7</v>
      </c>
      <c r="C35" s="130" t="s">
        <v>140</v>
      </c>
      <c r="D35" s="130"/>
      <c r="E35" s="130"/>
      <c r="F35" s="67"/>
    </row>
    <row r="36" spans="1:6" x14ac:dyDescent="0.3">
      <c r="B36" s="1" t="s">
        <v>10</v>
      </c>
      <c r="C36" s="130" t="s">
        <v>141</v>
      </c>
      <c r="D36" s="130"/>
      <c r="E36" s="130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26" t="s">
        <v>14</v>
      </c>
      <c r="D40" s="127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25" t="s">
        <v>15</v>
      </c>
      <c r="D41" s="125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28" t="s">
        <v>62</v>
      </c>
      <c r="D42" s="128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25" t="s">
        <v>151</v>
      </c>
      <c r="D43" s="125"/>
      <c r="E43" s="56" t="s">
        <v>134</v>
      </c>
      <c r="F43" s="71">
        <v>22</v>
      </c>
    </row>
    <row r="44" spans="1:6" x14ac:dyDescent="0.3">
      <c r="B44" s="74" t="s">
        <v>5</v>
      </c>
      <c r="C44" s="139" t="s">
        <v>185</v>
      </c>
      <c r="D44" s="140"/>
      <c r="E44" s="72" t="s">
        <v>134</v>
      </c>
      <c r="F44" s="67">
        <v>10.63</v>
      </c>
    </row>
    <row r="45" spans="1:6" x14ac:dyDescent="0.3">
      <c r="B45" s="74" t="s">
        <v>6</v>
      </c>
      <c r="C45" s="139" t="s">
        <v>186</v>
      </c>
      <c r="D45" s="140"/>
      <c r="E45" s="72" t="s">
        <v>134</v>
      </c>
      <c r="F45" s="67">
        <v>2.2999999999999998</v>
      </c>
    </row>
    <row r="46" spans="1:6" x14ac:dyDescent="0.3">
      <c r="B46" s="74" t="s">
        <v>7</v>
      </c>
      <c r="C46" s="139" t="s">
        <v>142</v>
      </c>
      <c r="D46" s="140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52" t="s">
        <v>95</v>
      </c>
      <c r="D50" s="153"/>
      <c r="E50" s="154"/>
      <c r="F50" s="3" t="s">
        <v>1</v>
      </c>
    </row>
    <row r="51" spans="1:6" s="90" customFormat="1" x14ac:dyDescent="0.3">
      <c r="B51" s="2" t="s">
        <v>2</v>
      </c>
      <c r="C51" s="147" t="s">
        <v>146</v>
      </c>
      <c r="D51" s="148"/>
      <c r="E51" s="149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50" t="s">
        <v>174</v>
      </c>
      <c r="D54" s="150"/>
      <c r="E54" s="150"/>
      <c r="F54" s="3" t="s">
        <v>170</v>
      </c>
    </row>
    <row r="55" spans="1:6" ht="15" customHeight="1" x14ac:dyDescent="0.3">
      <c r="B55" s="1" t="s">
        <v>2</v>
      </c>
      <c r="C55" s="151" t="s">
        <v>118</v>
      </c>
      <c r="D55" s="151"/>
      <c r="E55" s="151"/>
      <c r="F55" s="68"/>
    </row>
    <row r="56" spans="1:6" s="90" customFormat="1" x14ac:dyDescent="0.3">
      <c r="B56" s="1" t="s">
        <v>3</v>
      </c>
      <c r="C56" s="135" t="s">
        <v>127</v>
      </c>
      <c r="D56" s="136"/>
      <c r="E56" s="137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44" t="s">
        <v>0</v>
      </c>
      <c r="D59" s="144"/>
      <c r="E59" s="144"/>
      <c r="F59" s="44" t="s">
        <v>13</v>
      </c>
    </row>
    <row r="60" spans="1:6" x14ac:dyDescent="0.3">
      <c r="B60" s="39" t="s">
        <v>2</v>
      </c>
      <c r="C60" s="145" t="s">
        <v>16</v>
      </c>
      <c r="D60" s="145"/>
      <c r="E60" s="145"/>
      <c r="F60" s="70">
        <v>111.78</v>
      </c>
    </row>
    <row r="61" spans="1:6" s="91" customFormat="1" x14ac:dyDescent="0.3">
      <c r="A61" s="7"/>
      <c r="B61" s="39" t="s">
        <v>3</v>
      </c>
      <c r="C61" s="146" t="s">
        <v>187</v>
      </c>
      <c r="D61" s="146"/>
      <c r="E61" s="146"/>
      <c r="F61" s="70"/>
    </row>
    <row r="62" spans="1:6" s="91" customFormat="1" x14ac:dyDescent="0.3">
      <c r="A62" s="7"/>
      <c r="B62" s="39" t="s">
        <v>4</v>
      </c>
      <c r="C62" s="145" t="s">
        <v>17</v>
      </c>
      <c r="D62" s="145"/>
      <c r="E62" s="145"/>
      <c r="F62" s="70">
        <v>0.46</v>
      </c>
    </row>
    <row r="63" spans="1:6" s="90" customFormat="1" x14ac:dyDescent="0.3">
      <c r="B63" s="39" t="s">
        <v>5</v>
      </c>
      <c r="C63" s="130" t="s">
        <v>184</v>
      </c>
      <c r="D63" s="130"/>
      <c r="E63" s="130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38" t="s">
        <v>68</v>
      </c>
      <c r="C65" s="138"/>
      <c r="D65" s="138"/>
      <c r="E65" s="138"/>
      <c r="F65" s="138"/>
    </row>
    <row r="66" spans="1:6" s="93" customFormat="1" x14ac:dyDescent="0.3">
      <c r="A66" s="91"/>
      <c r="B66" s="1">
        <v>6</v>
      </c>
      <c r="C66" s="141" t="s">
        <v>21</v>
      </c>
      <c r="D66" s="142"/>
      <c r="E66" s="143"/>
      <c r="F66" s="3" t="s">
        <v>1</v>
      </c>
    </row>
    <row r="67" spans="1:6" s="93" customFormat="1" x14ac:dyDescent="0.3">
      <c r="A67" s="91"/>
      <c r="B67" s="1" t="s">
        <v>2</v>
      </c>
      <c r="C67" s="132" t="s">
        <v>70</v>
      </c>
      <c r="D67" s="133"/>
      <c r="E67" s="134"/>
      <c r="F67" s="108">
        <v>4.7300000000000004</v>
      </c>
    </row>
    <row r="68" spans="1:6" s="93" customFormat="1" x14ac:dyDescent="0.3">
      <c r="A68" s="92"/>
      <c r="B68" s="2" t="s">
        <v>3</v>
      </c>
      <c r="C68" s="135" t="s">
        <v>28</v>
      </c>
      <c r="D68" s="136"/>
      <c r="E68" s="137"/>
      <c r="F68" s="108">
        <v>5.57</v>
      </c>
    </row>
    <row r="69" spans="1:6" x14ac:dyDescent="0.3">
      <c r="B69" s="25" t="s">
        <v>71</v>
      </c>
      <c r="C69" s="132" t="s">
        <v>23</v>
      </c>
      <c r="D69" s="133"/>
      <c r="E69" s="134">
        <f>PERC_PIS</f>
        <v>0.65</v>
      </c>
      <c r="F69" s="108">
        <v>0.65</v>
      </c>
    </row>
    <row r="70" spans="1:6" x14ac:dyDescent="0.3">
      <c r="B70" s="25" t="s">
        <v>72</v>
      </c>
      <c r="C70" s="135" t="s">
        <v>24</v>
      </c>
      <c r="D70" s="136"/>
      <c r="E70" s="137">
        <f>PERC_COFINS</f>
        <v>3</v>
      </c>
      <c r="F70" s="108">
        <v>3</v>
      </c>
    </row>
    <row r="71" spans="1:6" s="90" customFormat="1" x14ac:dyDescent="0.3">
      <c r="B71" s="25" t="s">
        <v>73</v>
      </c>
      <c r="C71" s="132" t="s">
        <v>25</v>
      </c>
      <c r="D71" s="133"/>
      <c r="E71" s="13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31" t="s">
        <v>171</v>
      </c>
      <c r="C74" s="131"/>
      <c r="D74" s="131"/>
      <c r="E74" s="131"/>
      <c r="F74" s="131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8" t="s">
        <v>9</v>
      </c>
      <c r="D3" s="158"/>
      <c r="E3" s="158"/>
      <c r="F3" s="3" t="s">
        <v>176</v>
      </c>
    </row>
    <row r="4" spans="1:6" x14ac:dyDescent="0.3">
      <c r="B4" s="1" t="s">
        <v>6</v>
      </c>
      <c r="C4" s="132" t="s">
        <v>116</v>
      </c>
      <c r="D4" s="133"/>
      <c r="E4" s="134"/>
      <c r="F4" s="63">
        <v>220</v>
      </c>
    </row>
    <row r="5" spans="1:6" x14ac:dyDescent="0.3">
      <c r="B5" s="1" t="s">
        <v>7</v>
      </c>
      <c r="C5" s="162" t="s">
        <v>110</v>
      </c>
      <c r="D5" s="162"/>
      <c r="E5" s="162"/>
      <c r="F5" s="61">
        <v>7</v>
      </c>
    </row>
    <row r="6" spans="1:6" x14ac:dyDescent="0.3">
      <c r="B6" s="1" t="s">
        <v>10</v>
      </c>
      <c r="C6" s="132" t="s">
        <v>109</v>
      </c>
      <c r="D6" s="133"/>
      <c r="E6" s="134"/>
      <c r="F6" s="63">
        <v>365</v>
      </c>
    </row>
    <row r="7" spans="1:6" x14ac:dyDescent="0.3">
      <c r="B7" s="1" t="s">
        <v>12</v>
      </c>
      <c r="C7" s="162" t="s">
        <v>135</v>
      </c>
      <c r="D7" s="162"/>
      <c r="E7" s="162"/>
      <c r="F7" s="62">
        <v>15.2</v>
      </c>
    </row>
    <row r="8" spans="1:6" x14ac:dyDescent="0.3">
      <c r="B8" s="1" t="s">
        <v>115</v>
      </c>
      <c r="C8" s="132" t="s">
        <v>117</v>
      </c>
      <c r="D8" s="133"/>
      <c r="E8" s="134"/>
      <c r="F8" s="63">
        <v>12</v>
      </c>
    </row>
    <row r="9" spans="1:6" x14ac:dyDescent="0.3">
      <c r="B9" s="1" t="s">
        <v>122</v>
      </c>
      <c r="C9" s="162" t="s">
        <v>111</v>
      </c>
      <c r="D9" s="162"/>
      <c r="E9" s="162"/>
      <c r="F9" s="61">
        <v>60</v>
      </c>
    </row>
    <row r="10" spans="1:6" s="11" customFormat="1" x14ac:dyDescent="0.3">
      <c r="A10" s="7"/>
      <c r="B10" s="1" t="s">
        <v>123</v>
      </c>
      <c r="C10" s="132" t="s">
        <v>112</v>
      </c>
      <c r="D10" s="133"/>
      <c r="E10" s="13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26" t="s">
        <v>14</v>
      </c>
      <c r="D13" s="127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28" t="s">
        <v>136</v>
      </c>
      <c r="D14" s="128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41" t="s">
        <v>44</v>
      </c>
      <c r="D17" s="142"/>
      <c r="E17" s="143"/>
      <c r="F17" s="3" t="s">
        <v>177</v>
      </c>
    </row>
    <row r="18" spans="1:6" s="80" customFormat="1" x14ac:dyDescent="0.3">
      <c r="A18" s="90"/>
      <c r="B18" s="1" t="s">
        <v>2</v>
      </c>
      <c r="C18" s="132" t="s">
        <v>130</v>
      </c>
      <c r="D18" s="133"/>
      <c r="E18" s="134"/>
      <c r="F18" s="49">
        <v>62.93</v>
      </c>
    </row>
    <row r="19" spans="1:6" x14ac:dyDescent="0.3">
      <c r="A19" s="90"/>
      <c r="B19" s="2" t="s">
        <v>3</v>
      </c>
      <c r="C19" s="159" t="s">
        <v>119</v>
      </c>
      <c r="D19" s="160"/>
      <c r="E19" s="161"/>
      <c r="F19" s="31">
        <v>5.55</v>
      </c>
    </row>
    <row r="20" spans="1:6" s="80" customFormat="1" ht="15.95" customHeight="1" x14ac:dyDescent="0.15">
      <c r="B20" s="2" t="s">
        <v>4</v>
      </c>
      <c r="C20" s="132" t="s">
        <v>120</v>
      </c>
      <c r="D20" s="133"/>
      <c r="E20" s="134"/>
      <c r="F20" s="65">
        <v>40</v>
      </c>
    </row>
    <row r="21" spans="1:6" ht="16.5" customHeight="1" x14ac:dyDescent="0.3">
      <c r="A21" s="90"/>
      <c r="B21" s="2" t="s">
        <v>5</v>
      </c>
      <c r="C21" s="159" t="s">
        <v>121</v>
      </c>
      <c r="D21" s="160"/>
      <c r="E21" s="161"/>
      <c r="F21" s="66">
        <v>94.45</v>
      </c>
    </row>
    <row r="22" spans="1:6" x14ac:dyDescent="0.3">
      <c r="A22" s="90"/>
      <c r="B22" s="2" t="s">
        <v>6</v>
      </c>
      <c r="C22" s="132" t="s">
        <v>132</v>
      </c>
      <c r="D22" s="133"/>
      <c r="E22" s="13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52" t="s">
        <v>95</v>
      </c>
      <c r="D26" s="153"/>
      <c r="E26" s="154"/>
      <c r="F26" s="3" t="s">
        <v>177</v>
      </c>
    </row>
    <row r="27" spans="1:6" s="80" customFormat="1" x14ac:dyDescent="0.15">
      <c r="B27" s="1" t="s">
        <v>2</v>
      </c>
      <c r="C27" s="132" t="s">
        <v>124</v>
      </c>
      <c r="D27" s="133"/>
      <c r="E27" s="134"/>
      <c r="F27" s="65">
        <v>8</v>
      </c>
    </row>
    <row r="28" spans="1:6" x14ac:dyDescent="0.3">
      <c r="A28" s="80"/>
      <c r="B28" s="2" t="s">
        <v>3</v>
      </c>
      <c r="C28" s="135" t="s">
        <v>125</v>
      </c>
      <c r="D28" s="136"/>
      <c r="E28" s="137"/>
      <c r="F28" s="66">
        <v>20</v>
      </c>
    </row>
    <row r="29" spans="1:6" x14ac:dyDescent="0.3">
      <c r="A29" s="80"/>
      <c r="B29" s="2" t="s">
        <v>4</v>
      </c>
      <c r="C29" s="132" t="s">
        <v>126</v>
      </c>
      <c r="D29" s="133"/>
      <c r="E29" s="134"/>
      <c r="F29" s="49">
        <v>1.42</v>
      </c>
    </row>
    <row r="30" spans="1:6" x14ac:dyDescent="0.3">
      <c r="A30" s="80"/>
      <c r="B30" s="2" t="s">
        <v>5</v>
      </c>
      <c r="C30" s="135" t="s">
        <v>166</v>
      </c>
      <c r="D30" s="136"/>
      <c r="E30" s="137"/>
      <c r="F30" s="31">
        <v>45.22</v>
      </c>
    </row>
    <row r="31" spans="1:6" s="80" customFormat="1" ht="15.95" customHeight="1" x14ac:dyDescent="0.3">
      <c r="A31" s="7"/>
      <c r="B31" s="2" t="s">
        <v>6</v>
      </c>
      <c r="C31" s="132" t="s">
        <v>128</v>
      </c>
      <c r="D31" s="133"/>
      <c r="E31" s="13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35" t="s">
        <v>133</v>
      </c>
      <c r="D32" s="136"/>
      <c r="E32" s="137"/>
      <c r="F32" s="66">
        <v>15</v>
      </c>
    </row>
    <row r="33" spans="1:6" ht="15.75" customHeight="1" x14ac:dyDescent="0.3">
      <c r="A33" s="80"/>
      <c r="B33" s="2" t="s">
        <v>10</v>
      </c>
      <c r="C33" s="132" t="s">
        <v>129</v>
      </c>
      <c r="D33" s="133"/>
      <c r="E33" s="134"/>
      <c r="F33" s="65">
        <v>180</v>
      </c>
    </row>
    <row r="34" spans="1:6" x14ac:dyDescent="0.3">
      <c r="A34" s="80"/>
      <c r="B34" s="2" t="s">
        <v>11</v>
      </c>
      <c r="C34" s="135" t="s">
        <v>167</v>
      </c>
      <c r="D34" s="136"/>
      <c r="E34" s="137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50" t="s">
        <v>67</v>
      </c>
      <c r="D37" s="150"/>
      <c r="E37" s="150"/>
      <c r="F37" s="3" t="s">
        <v>178</v>
      </c>
    </row>
    <row r="38" spans="1:6" x14ac:dyDescent="0.3">
      <c r="B38" s="1" t="s">
        <v>2</v>
      </c>
      <c r="C38" s="151" t="s">
        <v>118</v>
      </c>
      <c r="D38" s="151"/>
      <c r="E38" s="151"/>
      <c r="F38" s="63">
        <f>PERC_HORA_EXTRA</f>
        <v>0</v>
      </c>
    </row>
    <row r="39" spans="1:6" ht="15" customHeight="1" x14ac:dyDescent="0.3">
      <c r="B39" s="1" t="s">
        <v>3</v>
      </c>
      <c r="C39" s="135" t="s">
        <v>127</v>
      </c>
      <c r="D39" s="136"/>
      <c r="E39" s="137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31" t="s">
        <v>171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50" t="s">
        <v>85</v>
      </c>
      <c r="D4" s="150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3" t="s">
        <v>87</v>
      </c>
      <c r="D6" s="163"/>
      <c r="E6" s="33">
        <f>(1/3)/MESES_NO_ANO*100</f>
        <v>2.78</v>
      </c>
      <c r="F6" s="33" t="s">
        <v>160</v>
      </c>
    </row>
    <row r="7" spans="2:7" s="90" customFormat="1" x14ac:dyDescent="0.3">
      <c r="B7" s="169" t="s">
        <v>60</v>
      </c>
      <c r="C7" s="169"/>
      <c r="D7" s="169"/>
      <c r="E7" s="169"/>
      <c r="F7" s="169"/>
    </row>
    <row r="8" spans="2:7" s="90" customFormat="1" ht="34.5" customHeight="1" x14ac:dyDescent="0.3">
      <c r="B8" s="1" t="s">
        <v>61</v>
      </c>
      <c r="C8" s="164" t="s">
        <v>88</v>
      </c>
      <c r="D8" s="164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3" t="s">
        <v>39</v>
      </c>
      <c r="D10" s="163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3" t="s">
        <v>79</v>
      </c>
      <c r="D12" s="163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3" t="s">
        <v>41</v>
      </c>
      <c r="D14" s="163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3" t="s">
        <v>40</v>
      </c>
      <c r="D16" s="163"/>
      <c r="E16" s="40">
        <v>8</v>
      </c>
    </row>
    <row r="17" spans="2:6" x14ac:dyDescent="0.3">
      <c r="B17" s="150" t="s">
        <v>42</v>
      </c>
      <c r="C17" s="150"/>
      <c r="D17" s="150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50" t="s">
        <v>44</v>
      </c>
      <c r="D19" s="150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6" t="s">
        <v>45</v>
      </c>
      <c r="D20" s="166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7" t="s">
        <v>46</v>
      </c>
      <c r="D21" s="167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6" t="s">
        <v>180</v>
      </c>
      <c r="D22" s="166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8" t="s">
        <v>95</v>
      </c>
      <c r="D25" s="168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3" t="s">
        <v>99</v>
      </c>
      <c r="D29" s="163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3" t="str">
        <f>OUTRAS_AUSENCIAS_DESCRICAO</f>
        <v>Outras Ausências (Especificar - em %)</v>
      </c>
      <c r="D31" s="163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31" t="s">
        <v>171</v>
      </c>
      <c r="C34" s="131"/>
      <c r="D34" s="131"/>
      <c r="E34" s="131"/>
      <c r="G34" s="101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91" zoomScaleNormal="100" zoomScaleSheetLayoutView="100" workbookViewId="0">
      <selection activeCell="K98" sqref="K98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CONSELHO NACIONAL DO MINISTÉRIO PÚBLICO</v>
      </c>
      <c r="C1" s="189"/>
      <c r="D1" s="189"/>
      <c r="E1" s="189"/>
      <c r="F1" s="190"/>
    </row>
    <row r="2" spans="2:6" ht="20.25" x14ac:dyDescent="0.35">
      <c r="B2" s="191" t="str">
        <f>UG</f>
        <v>UNIDADE GESTORA (SIGLA): CNMP</v>
      </c>
      <c r="C2" s="192"/>
      <c r="D2" s="193"/>
      <c r="E2" s="78" t="s">
        <v>50</v>
      </c>
      <c r="F2" s="79">
        <f>DATA_DO_ORCAMENTO_ESTIMATIVO</f>
        <v>44237</v>
      </c>
    </row>
    <row r="3" spans="2:6" s="80" customFormat="1" ht="25.5" x14ac:dyDescent="0.5">
      <c r="B3" s="123" t="s">
        <v>153</v>
      </c>
      <c r="C3" s="123"/>
      <c r="D3" s="123"/>
      <c r="E3" s="123"/>
      <c r="F3" s="123"/>
    </row>
    <row r="4" spans="2:6" s="80" customFormat="1" ht="15.95" customHeight="1" x14ac:dyDescent="0.3">
      <c r="B4" s="112" t="s">
        <v>89</v>
      </c>
      <c r="C4" s="112"/>
      <c r="D4" s="112"/>
      <c r="E4" s="112"/>
      <c r="F4" s="112"/>
    </row>
    <row r="5" spans="2:6" s="80" customFormat="1" ht="15.95" customHeight="1" x14ac:dyDescent="0.3">
      <c r="B5" s="115" t="s">
        <v>172</v>
      </c>
      <c r="C5" s="115"/>
      <c r="D5" s="194" t="str">
        <f>NUMERO_PROCESSO</f>
        <v>19.00.6150.0008473/2020-69</v>
      </c>
      <c r="E5" s="194"/>
      <c r="F5" s="194"/>
    </row>
    <row r="6" spans="2:6" s="80" customFormat="1" ht="15.75" customHeight="1" x14ac:dyDescent="0.3">
      <c r="B6" s="113" t="s">
        <v>173</v>
      </c>
      <c r="C6" s="113"/>
      <c r="D6" s="186" t="str">
        <f>MODALIDADE_DE_LICITACAO</f>
        <v>Pregão nº</v>
      </c>
      <c r="E6" s="186"/>
      <c r="F6" s="107" t="str">
        <f>NUMERO_PREGAO</f>
        <v>XX/20XX</v>
      </c>
    </row>
    <row r="7" spans="2:6" s="81" customFormat="1" ht="15.75" customHeight="1" x14ac:dyDescent="0.3">
      <c r="B7" s="187" t="s">
        <v>51</v>
      </c>
      <c r="C7" s="187"/>
      <c r="D7" s="187"/>
      <c r="E7" s="187"/>
      <c r="F7" s="187"/>
    </row>
    <row r="8" spans="2:6" s="80" customFormat="1" ht="18" customHeight="1" x14ac:dyDescent="0.3">
      <c r="B8" s="19" t="s">
        <v>2</v>
      </c>
      <c r="C8" s="115" t="s">
        <v>56</v>
      </c>
      <c r="D8" s="115"/>
      <c r="E8" s="115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84" t="str">
        <f>IF(LOCAL_DE_EXECUCAO="","",LOCAL_DE_EXECUCAO)</f>
        <v/>
      </c>
      <c r="E9" s="184"/>
      <c r="F9" s="184"/>
    </row>
    <row r="10" spans="2:6" s="80" customFormat="1" ht="18.75" customHeight="1" x14ac:dyDescent="0.3">
      <c r="B10" s="19" t="s">
        <v>4</v>
      </c>
      <c r="C10" s="115" t="s">
        <v>33</v>
      </c>
      <c r="D10" s="115"/>
      <c r="E10" s="115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84" t="s">
        <v>57</v>
      </c>
      <c r="D11" s="184"/>
      <c r="E11" s="184"/>
      <c r="F11" s="84">
        <f>NUMERO_MESES_EXEC_CONTRATUAL</f>
        <v>12</v>
      </c>
    </row>
    <row r="12" spans="2:6" s="80" customFormat="1" x14ac:dyDescent="0.3">
      <c r="B12" s="1" t="s">
        <v>6</v>
      </c>
      <c r="C12" s="185" t="s">
        <v>77</v>
      </c>
      <c r="D12" s="185"/>
      <c r="E12" s="185"/>
      <c r="F12" s="85">
        <v>28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25" t="s">
        <v>53</v>
      </c>
      <c r="D14" s="125"/>
      <c r="E14" s="181" t="str">
        <f>IF(TIPO_DE_SERVICO="","",TIPO_DE_SERVICO)</f>
        <v>AUXILIAR ADMINISTRATIVO</v>
      </c>
      <c r="F14" s="181"/>
    </row>
    <row r="15" spans="2:6" s="81" customFormat="1" x14ac:dyDescent="0.3">
      <c r="B15" s="19">
        <v>2</v>
      </c>
      <c r="C15" s="21" t="s">
        <v>52</v>
      </c>
      <c r="D15" s="180" t="str">
        <f>IF(CBO="","",CBO)</f>
        <v>4110-05</v>
      </c>
      <c r="E15" s="180"/>
      <c r="F15" s="180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28" t="s">
        <v>55</v>
      </c>
      <c r="D17" s="128"/>
      <c r="E17" s="128"/>
      <c r="F17" s="104">
        <f>DATA_BASE_CATEGORIA</f>
        <v>44197</v>
      </c>
    </row>
    <row r="18" spans="2:6" s="89" customFormat="1" ht="20.25" customHeight="1" x14ac:dyDescent="0.3">
      <c r="B18" s="182" t="s">
        <v>36</v>
      </c>
      <c r="C18" s="182"/>
      <c r="D18" s="182"/>
      <c r="E18" s="182"/>
      <c r="F18" s="182"/>
    </row>
    <row r="19" spans="2:6" x14ac:dyDescent="0.3">
      <c r="B19" s="150" t="s">
        <v>48</v>
      </c>
      <c r="C19" s="150"/>
      <c r="D19" s="150"/>
      <c r="E19" s="150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8" t="s">
        <v>9</v>
      </c>
      <c r="D21" s="158"/>
      <c r="E21" s="158"/>
      <c r="F21" s="3" t="s">
        <v>13</v>
      </c>
    </row>
    <row r="22" spans="2:6" x14ac:dyDescent="0.3">
      <c r="B22" s="1" t="s">
        <v>2</v>
      </c>
      <c r="C22" s="151" t="s">
        <v>84</v>
      </c>
      <c r="D22" s="151"/>
      <c r="E22" s="151"/>
      <c r="F22" s="48">
        <f>SALARIO_BASE</f>
        <v>1331.14</v>
      </c>
    </row>
    <row r="23" spans="2:6" x14ac:dyDescent="0.3">
      <c r="B23" s="1" t="s">
        <v>3</v>
      </c>
      <c r="C23" s="163" t="s">
        <v>86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4</v>
      </c>
      <c r="C24" s="183" t="s">
        <v>75</v>
      </c>
      <c r="D24" s="183"/>
      <c r="E24" s="183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3" t="s">
        <v>78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2" t="s">
        <v>150</v>
      </c>
      <c r="D26" s="133"/>
      <c r="E26" s="134"/>
      <c r="F26" s="48">
        <f>PERC_ADIC_INS%*SAL_MINIMO</f>
        <v>0</v>
      </c>
    </row>
    <row r="27" spans="2:6" x14ac:dyDescent="0.3">
      <c r="B27" s="1" t="s">
        <v>7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10</v>
      </c>
      <c r="C28" s="175" t="str">
        <f>OUTROS_REMUNERACAO_2_DESCRICAO</f>
        <v>Outras Remunerações 2 (Especificar)</v>
      </c>
      <c r="D28" s="176"/>
      <c r="E28" s="177"/>
      <c r="F28" s="48">
        <f>OUTROS_REMUNERACAO_2</f>
        <v>0</v>
      </c>
    </row>
    <row r="29" spans="2:6" x14ac:dyDescent="0.3">
      <c r="B29" s="1" t="s">
        <v>11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42</v>
      </c>
      <c r="C30" s="178"/>
      <c r="D30" s="178"/>
      <c r="E30" s="178"/>
      <c r="F30" s="35">
        <f>SUM(F22:F29)</f>
        <v>1331.14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50" t="s">
        <v>85</v>
      </c>
      <c r="D33" s="150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110.88</v>
      </c>
    </row>
    <row r="35" spans="2:6" s="11" customFormat="1" x14ac:dyDescent="0.3">
      <c r="B35" s="2" t="s">
        <v>3</v>
      </c>
      <c r="C35" s="163" t="s">
        <v>87</v>
      </c>
      <c r="D35" s="163"/>
      <c r="E35" s="33">
        <f>PERC_ADIC_FERIAS</f>
        <v>2.78</v>
      </c>
      <c r="F35" s="31">
        <f>PERC_ADIC_FERIAS%*MOD_1_REMUNERACAO</f>
        <v>37.01</v>
      </c>
    </row>
    <row r="36" spans="2:6" s="90" customFormat="1" x14ac:dyDescent="0.3">
      <c r="B36" s="141" t="s">
        <v>42</v>
      </c>
      <c r="C36" s="142"/>
      <c r="D36" s="142"/>
      <c r="E36" s="143"/>
      <c r="F36" s="36">
        <f>SUM(F34:F35)</f>
        <v>147.88999999999999</v>
      </c>
    </row>
    <row r="37" spans="2:6" s="90" customFormat="1" ht="31.5" customHeight="1" x14ac:dyDescent="0.3">
      <c r="B37" s="179" t="s">
        <v>60</v>
      </c>
      <c r="C37" s="179"/>
      <c r="D37" s="179"/>
      <c r="E37" s="179"/>
      <c r="F37" s="179"/>
    </row>
    <row r="38" spans="2:6" s="90" customFormat="1" ht="34.5" customHeight="1" x14ac:dyDescent="0.3">
      <c r="B38" s="1" t="s">
        <v>61</v>
      </c>
      <c r="C38" s="164" t="s">
        <v>88</v>
      </c>
      <c r="D38" s="164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295.81</v>
      </c>
    </row>
    <row r="40" spans="2:6" s="80" customFormat="1" x14ac:dyDescent="0.15">
      <c r="B40" s="2" t="s">
        <v>3</v>
      </c>
      <c r="C40" s="163" t="s">
        <v>39</v>
      </c>
      <c r="D40" s="163"/>
      <c r="E40" s="40">
        <f>PERC_SAL_EDUCACAO</f>
        <v>2.5</v>
      </c>
      <c r="F40" s="31">
        <f>PERC_SAL_EDUCACAO%*(MOD_1_REMUNERACAO+SUBMOD_2_1_DEC_TERC_ADIC_FERIAS)</f>
        <v>36.979999999999997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44.37</v>
      </c>
    </row>
    <row r="42" spans="2:6" s="80" customFormat="1" x14ac:dyDescent="0.15">
      <c r="B42" s="2" t="s">
        <v>5</v>
      </c>
      <c r="C42" s="163" t="s">
        <v>79</v>
      </c>
      <c r="D42" s="163"/>
      <c r="E42" s="33">
        <f>PERC_SESC</f>
        <v>1.5</v>
      </c>
      <c r="F42" s="31">
        <f>PERC_SESC%*(MOD_1_REMUNERACAO+SUBMOD_2_1_DEC_TERC_ADIC_FERIAS)</f>
        <v>22.19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14.79</v>
      </c>
    </row>
    <row r="44" spans="2:6" s="81" customFormat="1" x14ac:dyDescent="0.15">
      <c r="B44" s="2" t="s">
        <v>7</v>
      </c>
      <c r="C44" s="163" t="s">
        <v>41</v>
      </c>
      <c r="D44" s="163"/>
      <c r="E44" s="40">
        <f>PERC_SEBRAE</f>
        <v>0.6</v>
      </c>
      <c r="F44" s="31">
        <f>PERC_SEBRAE%*(MOD_1_REMUNERACAO+SUBMOD_2_1_DEC_TERC_ADIC_FERIAS)</f>
        <v>8.8699999999999992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2.96</v>
      </c>
    </row>
    <row r="46" spans="2:6" x14ac:dyDescent="0.3">
      <c r="B46" s="2" t="s">
        <v>11</v>
      </c>
      <c r="C46" s="163" t="s">
        <v>40</v>
      </c>
      <c r="D46" s="163"/>
      <c r="E46" s="40">
        <f>PERC_FGTS</f>
        <v>8</v>
      </c>
      <c r="F46" s="31">
        <f>PERC_FGTS%*(MOD_1_REMUNERACAO+SUBMOD_2_1_DEC_TERC_ADIC_FERIAS)</f>
        <v>118.32</v>
      </c>
    </row>
    <row r="47" spans="2:6" x14ac:dyDescent="0.3">
      <c r="B47" s="141" t="s">
        <v>42</v>
      </c>
      <c r="C47" s="142"/>
      <c r="D47" s="142"/>
      <c r="E47" s="143"/>
      <c r="F47" s="37">
        <f>SUM(F39:F46)</f>
        <v>544.29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58" t="s">
        <v>14</v>
      </c>
      <c r="D49" s="158"/>
      <c r="E49" s="158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162.13</v>
      </c>
    </row>
    <row r="51" spans="2:6" s="90" customFormat="1" x14ac:dyDescent="0.3">
      <c r="B51" s="19" t="s">
        <v>3</v>
      </c>
      <c r="C51" s="163" t="s">
        <v>62</v>
      </c>
      <c r="D51" s="163"/>
      <c r="E51" s="163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75" t="str">
        <f>OUTROS_BENEFICIOS_1_DESCRICAO</f>
        <v>Outros Benefícios - Auxílio Odontológico</v>
      </c>
      <c r="D52" s="176"/>
      <c r="E52" s="177"/>
      <c r="F52" s="49">
        <f>OUTROS_BENEFICIOS_1</f>
        <v>10.63</v>
      </c>
    </row>
    <row r="53" spans="2:6" s="90" customFormat="1" x14ac:dyDescent="0.3">
      <c r="B53" s="19" t="s">
        <v>5</v>
      </c>
      <c r="C53" s="155" t="str">
        <f>OUTROS_BENEFICIOS_2_DESCRICAO</f>
        <v>Outros Benefícios 2 - Auxílio Funeral</v>
      </c>
      <c r="D53" s="156"/>
      <c r="E53" s="157"/>
      <c r="F53" s="31">
        <f>OUTROS_BENEFICIOS_2</f>
        <v>2.2999999999999998</v>
      </c>
    </row>
    <row r="54" spans="2:6" s="90" customFormat="1" x14ac:dyDescent="0.3">
      <c r="B54" s="19" t="s">
        <v>6</v>
      </c>
      <c r="C54" s="175" t="str">
        <f>OUTROS_BENEFICIOS_3_DESCRICAO</f>
        <v>Outros Benefícios 3 (Especificar)</v>
      </c>
      <c r="D54" s="176"/>
      <c r="E54" s="177"/>
      <c r="F54" s="49">
        <f>OUTROS_BENEFICIOS_3</f>
        <v>0</v>
      </c>
    </row>
    <row r="55" spans="2:6" s="90" customFormat="1" ht="15" customHeight="1" x14ac:dyDescent="0.3">
      <c r="B55" s="178" t="s">
        <v>42</v>
      </c>
      <c r="C55" s="178"/>
      <c r="D55" s="178"/>
      <c r="E55" s="178"/>
      <c r="F55" s="35">
        <f>SUM(F50:F54)</f>
        <v>945.06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50" t="s">
        <v>44</v>
      </c>
      <c r="D57" s="150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6" t="s">
        <v>45</v>
      </c>
      <c r="D58" s="166"/>
      <c r="E58" s="50">
        <f>PERC_AVISO_PREVIO_IND</f>
        <v>0.28999999999999998</v>
      </c>
      <c r="F58" s="49">
        <f>PERC_AVISO_PREVIO_IND%*(MOD_1_REMUNERACAO+SUBMOD_2_1_DEC_TERC_ADIC_FERIAS+AL_2_2_FGTS+SUBMOD_2_3_BENEFICIOS)</f>
        <v>7.37</v>
      </c>
    </row>
    <row r="59" spans="2:6" s="90" customFormat="1" x14ac:dyDescent="0.3">
      <c r="B59" s="2" t="s">
        <v>3</v>
      </c>
      <c r="C59" s="167" t="s">
        <v>46</v>
      </c>
      <c r="D59" s="167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34.43</v>
      </c>
    </row>
    <row r="60" spans="2:6" s="80" customFormat="1" x14ac:dyDescent="0.15">
      <c r="B60" s="2" t="s">
        <v>4</v>
      </c>
      <c r="C60" s="166" t="s">
        <v>180</v>
      </c>
      <c r="D60" s="166"/>
      <c r="E60" s="50">
        <f>PERC_MULTA_FGTS_AV_PREV_TRAB</f>
        <v>0.04</v>
      </c>
      <c r="F60" s="49">
        <f>PERC_MULTA_FGTS_AV_PREV_TRAB%*(MOD_1_REMUNERACAO+SUBMOD_2_1_DEC_TERC_ADIC_FERIAS)</f>
        <v>0.59</v>
      </c>
    </row>
    <row r="61" spans="2:6" s="80" customFormat="1" x14ac:dyDescent="0.3">
      <c r="B61" s="141" t="s">
        <v>42</v>
      </c>
      <c r="C61" s="142"/>
      <c r="D61" s="142"/>
      <c r="E61" s="143"/>
      <c r="F61" s="36">
        <f>SUM(F58:F60)</f>
        <v>42.39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8" t="s">
        <v>95</v>
      </c>
      <c r="D65" s="168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250.8</v>
      </c>
    </row>
    <row r="67" spans="2:6" s="80" customFormat="1" ht="15.95" customHeight="1" x14ac:dyDescent="0.15">
      <c r="B67" s="2" t="s">
        <v>3</v>
      </c>
      <c r="C67" s="163" t="s">
        <v>97</v>
      </c>
      <c r="D67" s="163"/>
      <c r="E67" s="40">
        <f>PERC_SUBSTITUTO_AUSENCIAS_LEGAIS</f>
        <v>2.2200000000000002</v>
      </c>
      <c r="F67" s="31">
        <f>PERC_SUBSTITUTO_AUSENCIAS_LEGAIS%*(MOD_1_REMUNERACAO+MOD_2_ENCARGOS_BENEFICIOS+MOD_3_PROVISAO_RESCISAO)</f>
        <v>66.84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1.2</v>
      </c>
    </row>
    <row r="69" spans="2:6" s="80" customFormat="1" x14ac:dyDescent="0.15">
      <c r="B69" s="2" t="s">
        <v>5</v>
      </c>
      <c r="C69" s="163" t="s">
        <v>99</v>
      </c>
      <c r="D69" s="163"/>
      <c r="E69" s="40">
        <f>PERC_SUBSTITUTO_ACID_TRAB</f>
        <v>0.02</v>
      </c>
      <c r="F69" s="31">
        <f>PERC_SUBSTITUTO_ACID_TRAB%*(MOD_1_REMUNERACAO+MOD_2_ENCARGOS_BENEFICIOS+MOD_3_PROVISAO_RESCISAO)</f>
        <v>0.6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4.22</v>
      </c>
    </row>
    <row r="71" spans="2:6" s="80" customFormat="1" x14ac:dyDescent="0.15">
      <c r="B71" s="2" t="s">
        <v>7</v>
      </c>
      <c r="C71" s="173" t="str">
        <f>OUTRAS_AUSENCIAS_DESCRICAO</f>
        <v>Outras Ausências (Especificar - em %)</v>
      </c>
      <c r="D71" s="163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41" t="s">
        <v>42</v>
      </c>
      <c r="C72" s="142"/>
      <c r="D72" s="142"/>
      <c r="E72" s="143"/>
      <c r="F72" s="36">
        <f>SUM(F66:F71)</f>
        <v>323.66000000000003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50" t="s">
        <v>174</v>
      </c>
      <c r="D74" s="150"/>
      <c r="E74" s="150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50" t="s">
        <v>42</v>
      </c>
      <c r="C76" s="150"/>
      <c r="D76" s="150"/>
      <c r="E76" s="150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4" t="s">
        <v>0</v>
      </c>
      <c r="D79" s="144"/>
      <c r="E79" s="144"/>
      <c r="F79" s="44" t="s">
        <v>13</v>
      </c>
    </row>
    <row r="80" spans="2:6" x14ac:dyDescent="0.3">
      <c r="B80" s="39" t="s">
        <v>2</v>
      </c>
      <c r="C80" s="145" t="s">
        <v>16</v>
      </c>
      <c r="D80" s="145"/>
      <c r="E80" s="145"/>
      <c r="F80" s="51">
        <f>UNIFORMES</f>
        <v>111.78</v>
      </c>
    </row>
    <row r="81" spans="2:6" x14ac:dyDescent="0.3">
      <c r="B81" s="39" t="s">
        <v>3</v>
      </c>
      <c r="C81" s="146" t="s">
        <v>188</v>
      </c>
      <c r="D81" s="146"/>
      <c r="E81" s="146"/>
      <c r="F81" s="41">
        <f>MATERIAIS</f>
        <v>0</v>
      </c>
    </row>
    <row r="82" spans="2:6" x14ac:dyDescent="0.3">
      <c r="B82" s="39" t="s">
        <v>4</v>
      </c>
      <c r="C82" s="145" t="s">
        <v>17</v>
      </c>
      <c r="D82" s="145"/>
      <c r="E82" s="145"/>
      <c r="F82" s="51">
        <f>EQUIPAMENTOS</f>
        <v>0.46</v>
      </c>
    </row>
    <row r="83" spans="2:6" x14ac:dyDescent="0.3">
      <c r="B83" s="39" t="s">
        <v>5</v>
      </c>
      <c r="C83" s="174" t="str">
        <f>OUTROS_INSUMOS_DESCRICAO</f>
        <v>EPI (COVID-19)</v>
      </c>
      <c r="D83" s="146"/>
      <c r="E83" s="146"/>
      <c r="F83" s="41">
        <f>OUTROS_INSUMOS</f>
        <v>4.13</v>
      </c>
    </row>
    <row r="84" spans="2:6" x14ac:dyDescent="0.3">
      <c r="B84" s="172" t="s">
        <v>42</v>
      </c>
      <c r="C84" s="172"/>
      <c r="D84" s="172"/>
      <c r="E84" s="172"/>
      <c r="F84" s="38">
        <f>SUM(F80:F83)</f>
        <v>116.37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8" t="s">
        <v>68</v>
      </c>
      <c r="C86" s="138"/>
      <c r="D86" s="138"/>
      <c r="E86" s="138"/>
      <c r="F86" s="138"/>
    </row>
    <row r="87" spans="2:6" x14ac:dyDescent="0.3">
      <c r="B87" s="1">
        <v>6</v>
      </c>
      <c r="C87" s="150" t="s">
        <v>21</v>
      </c>
      <c r="D87" s="150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163.22</v>
      </c>
    </row>
    <row r="89" spans="2:6" ht="15.75" customHeight="1" x14ac:dyDescent="0.3">
      <c r="B89" s="2" t="s">
        <v>3</v>
      </c>
      <c r="C89" s="163" t="s">
        <v>28</v>
      </c>
      <c r="D89" s="163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201.3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361.28</v>
      </c>
    </row>
    <row r="91" spans="2:6" ht="15.75" customHeight="1" x14ac:dyDescent="0.3">
      <c r="B91" s="25" t="s">
        <v>71</v>
      </c>
      <c r="C91" s="170" t="s">
        <v>23</v>
      </c>
      <c r="D91" s="170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27.15</v>
      </c>
    </row>
    <row r="92" spans="2:6" x14ac:dyDescent="0.3">
      <c r="B92" s="25" t="s">
        <v>72</v>
      </c>
      <c r="C92" s="171" t="s">
        <v>24</v>
      </c>
      <c r="D92" s="171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125.3</v>
      </c>
    </row>
    <row r="93" spans="2:6" s="91" customFormat="1" x14ac:dyDescent="0.3">
      <c r="B93" s="25" t="s">
        <v>73</v>
      </c>
      <c r="C93" s="170" t="s">
        <v>25</v>
      </c>
      <c r="D93" s="170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208.83</v>
      </c>
    </row>
    <row r="94" spans="2:6" s="91" customFormat="1" x14ac:dyDescent="0.3">
      <c r="B94" s="141" t="s">
        <v>42</v>
      </c>
      <c r="C94" s="142"/>
      <c r="D94" s="142"/>
      <c r="E94" s="143"/>
      <c r="F94" s="32">
        <f>AL_6_A_CUSTOS_INDIRETOS+AL_6_B_LUCRO+AL_6_C_TRIBUTOS</f>
        <v>725.8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52" t="s">
        <v>91</v>
      </c>
      <c r="D96" s="153"/>
      <c r="E96" s="154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1331.14</v>
      </c>
    </row>
    <row r="98" spans="2:6" s="93" customFormat="1" ht="16.5" customHeight="1" x14ac:dyDescent="0.3">
      <c r="B98" s="2">
        <v>2</v>
      </c>
      <c r="C98" s="163" t="s">
        <v>92</v>
      </c>
      <c r="D98" s="163"/>
      <c r="E98" s="163"/>
      <c r="F98" s="31">
        <f>MOD_2_ENCARGOS_BENEFICIOS</f>
        <v>1637.24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42.39</v>
      </c>
    </row>
    <row r="100" spans="2:6" s="93" customFormat="1" x14ac:dyDescent="0.3">
      <c r="B100" s="2">
        <v>4</v>
      </c>
      <c r="C100" s="163" t="s">
        <v>47</v>
      </c>
      <c r="D100" s="163"/>
      <c r="E100" s="163"/>
      <c r="F100" s="31">
        <f>MOD_4_CUSTO_REPOSICAO</f>
        <v>323.66000000000003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116.37</v>
      </c>
    </row>
    <row r="102" spans="2:6" s="93" customFormat="1" x14ac:dyDescent="0.3">
      <c r="B102" s="2">
        <v>6</v>
      </c>
      <c r="C102" s="163" t="s">
        <v>21</v>
      </c>
      <c r="D102" s="163"/>
      <c r="E102" s="163"/>
      <c r="F102" s="31">
        <f>MOD_6_CUSTOS_IND_LUCRO_TRIB</f>
        <v>725.8</v>
      </c>
    </row>
    <row r="103" spans="2:6" ht="16.5" customHeight="1" x14ac:dyDescent="0.3">
      <c r="B103" s="168" t="s">
        <v>93</v>
      </c>
      <c r="C103" s="168"/>
      <c r="D103" s="168"/>
      <c r="E103" s="168"/>
      <c r="F103" s="32">
        <f>SUM(F97:F102)</f>
        <v>4176.6000000000004</v>
      </c>
    </row>
    <row r="104" spans="2:6" ht="16.5" customHeight="1" x14ac:dyDescent="0.3">
      <c r="B104" s="168" t="s">
        <v>27</v>
      </c>
      <c r="C104" s="168"/>
      <c r="D104" s="168"/>
      <c r="E104" s="168"/>
      <c r="F104" s="32">
        <f>VALOR_TOTAL_EMPREGADO*EMPREG_POR_POSTO</f>
        <v>4176.6000000000004</v>
      </c>
    </row>
    <row r="105" spans="2:6" x14ac:dyDescent="0.3">
      <c r="B105" s="168" t="s">
        <v>152</v>
      </c>
      <c r="C105" s="168"/>
      <c r="D105" s="168"/>
      <c r="E105" s="168"/>
      <c r="F105" s="32">
        <f>VALOR_TOTAL_EMPREGADO*EMPREG_POR_POSTO*QTDE_POSTOS</f>
        <v>116944.8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2021-03-18T22:33:56Z</dcterms:modified>
</cp:coreProperties>
</file>