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larissasousa\Downloads\"/>
    </mc:Choice>
  </mc:AlternateContent>
  <xr:revisionPtr revIDLastSave="0" documentId="13_ncr:1_{FA3A394A-200C-43CB-9C10-6A2AC2FF5F0D}" xr6:coauthVersionLast="47" xr6:coauthVersionMax="47" xr10:uidLastSave="{00000000-0000-0000-0000-000000000000}"/>
  <bookViews>
    <workbookView xWindow="28680" yWindow="-120" windowWidth="29040" windowHeight="15840" tabRatio="899" activeTab="5" xr2:uid="{00000000-000D-0000-FFFF-FFFF00000000}"/>
  </bookViews>
  <sheets>
    <sheet name="INSERÇÃO-DE-DADOS" sheetId="11" r:id="rId1"/>
    <sheet name="DADOS-ESTATISTICOS" sheetId="14" r:id="rId2"/>
    <sheet name="ENCARGOS-SOCIAIS-E-TRABALHISTAS" sheetId="12" r:id="rId3"/>
    <sheet name="POSTO 12x36 HORAS - DIURNO" sheetId="2" r:id="rId4"/>
    <sheet name="POSTO 12x36 HORAS - NOTURNO" sheetId="7" r:id="rId5"/>
    <sheet name="QUADRO-RESUMO" sheetId="10" r:id="rId6"/>
    <sheet name="LIMITES-SEGES" sheetId="13" state="hidden" r:id="rId7"/>
  </sheets>
  <definedNames>
    <definedName name="ACORDO_COLETIVO">'INSERÇÃO-DE-DADOS'!$F$14</definedName>
    <definedName name="AL_1_A_SAL_BASE_12X36_DIU">'POSTO 12x36 HORAS - DIURNO'!$F$24</definedName>
    <definedName name="AL_1_A_SAL_BASE_12X36_NOT">'POSTO 12x36 HORAS - NOTURNO'!$F$22</definedName>
    <definedName name="AL_1_A_SAL_BASE_44H">#REF!</definedName>
    <definedName name="AL_1_B_ADIC_PERIC_12X36_DIU">'POSTO 12x36 HORAS - DIURNO'!$F$25</definedName>
    <definedName name="AL_1_B_ADIC_PERIC_12X36_NOT">'POSTO 12x36 HORAS - NOTURNO'!$F$23</definedName>
    <definedName name="AL_1_B_ADIC_PERIC_44H">#REF!</definedName>
    <definedName name="AL_1_C_ADIC_NOT_12X36_NOT">'POSTO 12x36 HORAS - NOTURNO'!$F$24</definedName>
    <definedName name="AL_1_D_ADIC_NOT_RED_12X36_NOT">'POSTO 12x36 HORAS - NOTURNO'!$F$25</definedName>
    <definedName name="AL_1_E_OUTROS_REM_12X36_NOT">'POSTO 12x36 HORAS - NOTURNO'!#REF!</definedName>
    <definedName name="AL_2_1_A_DEC_TERC_12X36_DIU">'POSTO 12x36 HORAS - DIURNO'!$F$33</definedName>
    <definedName name="AL_2_1_A_DEC_TERC_12X36_NOT">'POSTO 12x36 HORAS - NOTURNO'!$F$33</definedName>
    <definedName name="AL_2_1_B_ADIC_FERIAS_12X36_DIU">'POSTO 12x36 HORAS - DIURNO'!$F$34</definedName>
    <definedName name="AL_2_1_B_ADIC_FERIAS_12X36_NOT">'POSTO 12x36 HORAS - NOTURNO'!$F$34</definedName>
    <definedName name="AL_2_2_FGTS_12X36_DIU">'POSTO 12x36 HORAS - DIURNO'!$F$45</definedName>
    <definedName name="AL_2_2_FGTS_12X36_NOT">'POSTO 12x36 HORAS - NOTURNO'!$F$45</definedName>
    <definedName name="AL_2_2_FGTS_44H">#REF!</definedName>
    <definedName name="AL_2_3_A_TRANSP_12X36_DIU">'POSTO 12x36 HORAS - DIURNO'!$F$49</definedName>
    <definedName name="AL_2_3_A_TRANSP_12X36_NOT">'POSTO 12x36 HORAS - NOTURNO'!$F$49</definedName>
    <definedName name="AL_2_3_A_TRANSP_44H">#REF!</definedName>
    <definedName name="AL_2_3_B_AUX_ALIMENT_12X36_DIU">'POSTO 12x36 HORAS - DIURNO'!$F$50</definedName>
    <definedName name="AL_2_3_B_AUX_ALIMENT_12X36_NOT">'POSTO 12x36 HORAS - NOTURNO'!$F$50</definedName>
    <definedName name="AL_2_3_B_AUX_ALIMENT_44H">#REF!</definedName>
    <definedName name="AL_2_3_C_OUTROS_BENEF_12X36_DIU">'POSTO 12x36 HORAS - DIURNO'!$F$53</definedName>
    <definedName name="AL_2_3_C_OUTROS_BENEF_12X36_NOT">'POSTO 12x36 HORAS - NOTURNO'!#REF!</definedName>
    <definedName name="AL_2_A_ATE_2_G_GPS_12X36_NOT">'POSTO 12x36 HORAS - NOTURNO'!$F$38:$F$44</definedName>
    <definedName name="AL_6_A_CUSTOS_INDIRETOS_12X36_DIU">'POSTO 12x36 HORAS - DIURNO'!$F$87</definedName>
    <definedName name="AL_6_A_CUSTOS_INDIRETOS_12X36_NOT">'POSTO 12x36 HORAS - NOTURNO'!$F$87</definedName>
    <definedName name="AL_6_A_CUSTOS_INDIRETOS_44H">#REF!</definedName>
    <definedName name="AL_6_B_LUCRO_12X36_DIU">'POSTO 12x36 HORAS - DIURNO'!$F$88</definedName>
    <definedName name="AL_6_B_LUCRO_12X36_NOT">'POSTO 12x36 HORAS - NOTURNO'!$F$88</definedName>
    <definedName name="AL_6_B_LUCRO_44H">#REF!</definedName>
    <definedName name="AL_6_C_1_PIS_12X36_DIU">'POSTO 12x36 HORAS - DIURNO'!$F$90</definedName>
    <definedName name="AL_6_C_1_PIS_12X36_NOT">'POSTO 12x36 HORAS - NOTURNO'!$F$90</definedName>
    <definedName name="AL_6_C_1_PIS_44H">#REF!</definedName>
    <definedName name="AL_6_C_2_COFINS_12X36_DIU">'POSTO 12x36 HORAS - DIURNO'!$F$91</definedName>
    <definedName name="AL_6_C_2_COFINS_12X36_NOT">'POSTO 12x36 HORAS - NOTURNO'!$F$91</definedName>
    <definedName name="AL_6_C_2_COFINS_44H">#REF!</definedName>
    <definedName name="AL_6_C_3_ISS_12X36_DIU">'POSTO 12x36 HORAS - DIURNO'!$F$92</definedName>
    <definedName name="AL_6_C_3_ISS_12X36_NOT">'POSTO 12x36 HORAS - NOTURNO'!$F$92</definedName>
    <definedName name="AL_6_C_3_ISS_44H">#REF!</definedName>
    <definedName name="AL_6_C_TRIBUTOS_12X36_DIU">'POSTO 12x36 HORAS - DIURNO'!$F$89</definedName>
    <definedName name="AL_6_C_TRIBUTOS_12X36_NOT">'POSTO 12x36 HORAS - NOTURNO'!$F$89</definedName>
    <definedName name="AL_6_C_TRIBUTOS_44H">#REF!</definedName>
    <definedName name="ALIMENTACAO_POR_DIA">'INSERÇÃO-DE-DADOS'!$F$43</definedName>
    <definedName name="CATEGORIA_PROFISSIONAL">'INSERÇÃO-DE-DADOS'!$D$26</definedName>
    <definedName name="CBO">'INSERÇÃO-DE-DADOS'!$D$25</definedName>
    <definedName name="DATA_APRESENTACAO_PROPOSTA">'INSERÇÃO-DE-DADOS'!$F$11</definedName>
    <definedName name="DATA_BASE_CATEGORIA">'INSERÇÃO-DE-DADOS'!$F$27</definedName>
    <definedName name="DATA_DO_ORCAMENTO_ESTIMATIVO">'INSERÇÃO-DE-DADOS'!$F$2</definedName>
    <definedName name="DATA_LICITACAO">'INSERÇÃO-DE-DADOS'!$D$8</definedName>
    <definedName name="DIAS_AUSENCIAS_LEGAIS">'DADOS-ESTATISTICOS'!$F$29</definedName>
    <definedName name="DIAS_LICENCA_MATERNIDADE">'DADOS-ESTATISTICOS'!$F$35</definedName>
    <definedName name="DIAS_LICENCA_PATERNIDADE">'DADOS-ESTATISTICOS'!$F$30</definedName>
    <definedName name="DIAS_NA_SEMANA">'DADOS-ESTATISTICOS'!$F$5</definedName>
    <definedName name="DIAS_NO_ANO">'DADOS-ESTATISTICOS'!$F$6</definedName>
    <definedName name="DIAS_NO_MES">'DADOS-ESTATISTICOS'!$F$24</definedName>
    <definedName name="DIAS_PAGOS_EMPRESA_ACID_TRAB">'DADOS-ESTATISTICOS'!$F$34</definedName>
    <definedName name="DIAS_TRABALHADOS_NO_MES_12X36">'DADOS-ESTATISTICOS'!$F$15</definedName>
    <definedName name="DIAS_UTEIS_TRABALHADOS_NO_MES_44HORAS">'DADOS-ESTATISTICOS'!$F$16</definedName>
    <definedName name="DIVISOR_DE_HORAS">'DADOS-ESTATISTICOS'!$F$4</definedName>
    <definedName name="EMPREG_POR_POSTO_12X36_DIU">'POSTO 12x36 HORAS - DIURNO'!$F$21</definedName>
    <definedName name="EMPREG_POR_POSTO_12X36_NOT">'POSTO 12x36 HORAS - NOTURNO'!$F$19</definedName>
    <definedName name="EMPREG_POR_POSTO_44H">#REF!</definedName>
    <definedName name="EQUIPAMENTOS">'INSERÇÃO-DE-DADOS'!$F$63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'INSERÇÃO-DE-DADOS'!$F$62</definedName>
    <definedName name="MEDIA_ANUAL_DIAS_TRABALHO_MES">'DADOS-ESTATISTICOS'!$F$7</definedName>
    <definedName name="MESES_NO_ANO">'DADOS-ESTATISTICOS'!$F$8</definedName>
    <definedName name="MOD_1_REMUNERACAO_12X36_DIU">'POSTO 12x36 HORAS - DIURNO'!$F$29</definedName>
    <definedName name="MOD_1_REMUNERACAO_12X36_NOT">'POSTO 12x36 HORAS - NOTURNO'!$F$29</definedName>
    <definedName name="MOD_1_REMUNERACAO_44H">#REF!</definedName>
    <definedName name="MOD_2_ENCARGOS_BENEFICIOS_12X36_DIU">'POSTO 12x36 HORAS - DIURNO'!$F$35+'POSTO 12x36 HORAS - DIURNO'!$F$46+'POSTO 12x36 HORAS - DIURNO'!$F$54</definedName>
    <definedName name="MOD_2_ENCARGOS_BENEFICIOS_12X36_NOT">'POSTO 12x36 HORAS - NOTURNO'!$F$35+'POSTO 12x36 HORAS - NOTURNO'!$F$46+'POSTO 12x36 HORAS - NOTURNO'!$F$54</definedName>
    <definedName name="MOD_2_ENCARGOS_BENEFICIOS_44H">#REF!+#REF!+#REF!</definedName>
    <definedName name="MOD_3_PROVISAO_RESCISAO_12X36_DIU">'POSTO 12x36 HORAS - DIURNO'!$F$60</definedName>
    <definedName name="MOD_3_PROVISAO_RESCISAO_12X36_NOT">'POSTO 12x36 HORAS - NOTURNO'!$F$60</definedName>
    <definedName name="MOD_3_PROVISAO_RESCISAO_44H">#REF!</definedName>
    <definedName name="MOD_4_CUSTO_REPOSICAO_12X36_DIU">'POSTO 12x36 HORAS - DIURNO'!$F$71+'POSTO 12x36 HORAS - DIURNO'!$F$75</definedName>
    <definedName name="MOD_4_CUSTO_REPOSICAO_12X36_NOT">'POSTO 12x36 HORAS - NOTURNO'!$F$71+'POSTO 12x36 HORAS - NOTURNO'!$F$75</definedName>
    <definedName name="MOD_4_CUSTO_REPOSICAO_44H">#REF!+#REF!</definedName>
    <definedName name="MOD_5_INSUMOS_12X36_DIU">'POSTO 12x36 HORAS - DIURNO'!$F$83</definedName>
    <definedName name="MOD_5_INSUMOS_12X36_NOT">'POSTO 12x36 HORAS - NOTURNO'!$F$83</definedName>
    <definedName name="MOD_5_INSUMOS_44H">#REF!</definedName>
    <definedName name="MOD_6_CUSTOS_IND_LUCRO_TRIB_12X36_DIU">'POSTO 12x36 HORAS - DIURNO'!$F$93</definedName>
    <definedName name="MOD_6_CUSTOS_IND_LUCRO_TRIB_12X36_NOT">'POSTO 12x36 HORAS - NOTURNO'!$F$93</definedName>
    <definedName name="MOD_6_CUSTOS_IND_LUCRO_TRIB_44H">#REF!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'INSERÇÃO-DE-DADOS'!$C$52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'INSERÇÃO-DE-DADOS'!$F$47</definedName>
    <definedName name="OUTROS_BENEFICIOS_3_DESCRICAO">'INSERÇÃO-DE-DADOS'!$C$47</definedName>
    <definedName name="OUTROS_INSUMOS">'INSERÇÃO-DE-DADOS'!$F$64</definedName>
    <definedName name="OUTROS_INSUMOS_DESCRICAO">'INSERÇÃO-DE-DADOS'!$C$64</definedName>
    <definedName name="OUTROS_REMUNERACAO_1">'INSERÇÃO-DE-DADOS'!$F$36</definedName>
    <definedName name="OUTROS_REMUNERACAO_1_DESCRICAO">'INSERÇÃO-DE-DADOS'!$C$36:$E$36</definedName>
    <definedName name="OUTROS_REMUNERACAO_2">'INSERÇÃO-DE-DADOS'!$F$37</definedName>
    <definedName name="OUTROS_REMUNERACAO_2_DESCRICAO">'INSERÇÃO-DE-DADOS'!$C$37:$E$37</definedName>
    <definedName name="OUTROS_REMUNERACAO_3">'INSERÇÃO-DE-DADOS'!$F$38</definedName>
    <definedName name="OUTROS_REMUNERACAO_3_DESCRICAO">'INSERÇÃO-DE-DADOS'!$C$38:$E$38</definedName>
    <definedName name="PERC_ADIC_FERIAS">'ENCARGOS-SOCIAIS-E-TRABALHISTAS'!$E$6</definedName>
    <definedName name="PERC_ADIC_NOT">'INSERÇÃO-DE-DADOS'!$F$35</definedName>
    <definedName name="PERC_ADIC_PERIC">'INSERÇÃO-DE-DADOS'!$F$34</definedName>
    <definedName name="PERC_AVISO_PREVIO_IND">'ENCARGOS-SOCIAIS-E-TRABALHISTAS'!$E$20</definedName>
    <definedName name="PERC_AVISO_PREVIO_TRAB">'ENCARGOS-SOCIAIS-E-TRABALHISTAS'!$E$21</definedName>
    <definedName name="PERC_COFINS">'INSERÇÃO-DE-DADOS'!$F$71</definedName>
    <definedName name="PERC_CONTRIB_SOCIAL">'DADOS-ESTATISTICOS'!#REF!</definedName>
    <definedName name="PERC_CUSTOS_INDIRETOS">'INSERÇÃO-DE-DADOS'!$F$68</definedName>
    <definedName name="PERC_DEC_TERC">'ENCARGOS-SOCIAIS-E-TRABALHISTAS'!$E$5</definedName>
    <definedName name="PERC_DESC_TRANSP_REMUNERACAO">'DADOS-ESTATISTICOS'!$F$14</definedName>
    <definedName name="PERC_EMPREG_AFAST_TRAB">'DADOS-ESTATISTICOS'!$F$33</definedName>
    <definedName name="PERC_EMPREG_AVISO_PREVIO_IND">'DADOS-ESTATISTICOS'!$F$21</definedName>
    <definedName name="PERC_EMPREG_AVISO_PREVIO_TRAB">'DADOS-ESTATISTICOS'!$F$23</definedName>
    <definedName name="PERC_EMPREG_DEMIT_SEM_JUSTA_CAUSA_TOTAL_DESLIG">'DADOS-ESTATISTICOS'!$F$20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'INSERÇÃO-DE-DADOS'!$F$56</definedName>
    <definedName name="PERC_INCRA">'ENCARGOS-SOCIAIS-E-TRABALHISTAS'!$E$15</definedName>
    <definedName name="PERC_INSS">'ENCARGOS-SOCIAIS-E-TRABALHISTAS'!$E$9</definedName>
    <definedName name="PERC_ISS">'INSERÇÃO-DE-DADOS'!$F$72</definedName>
    <definedName name="PERC_LUCRO">'INSERÇÃO-DE-DADOS'!$F$69</definedName>
    <definedName name="PERC_MOD_3_PROVISAO_RESCISAO">'POSTO 12x36 HORAS - NOTURNO'!$E$60</definedName>
    <definedName name="PERC_MULTA_FGTS">'DADOS-ESTATISTICOS'!$F$22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'DADOS-ESTATISTICOS'!$F$31</definedName>
    <definedName name="PERC_PARTIC_FEM_VIGIL">'DADOS-ESTATISTICOS'!$F$36</definedName>
    <definedName name="PERC_PARTIC_MASC_VIGIL">'DADOS-ESTATISTICOS'!$F$32</definedName>
    <definedName name="PERC_PIS">'INSERÇÃO-DE-DADOS'!$F$70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'INSERÇÃO-DE-DADOS'!$F$52</definedName>
    <definedName name="PERC_TRIBUTOS">'POSTO 12x36 HORAS - NOTURNO'!$E$89</definedName>
    <definedName name="POSTO_12X36_DIU">'INSERÇÃO-DE-DADOS'!$C$19</definedName>
    <definedName name="POSTO_12X36_NOT">'INSERÇÃO-DE-DADOS'!$C$20</definedName>
    <definedName name="POSTO_44H">'INSERÇÃO-DE-DADOS'!$C$21</definedName>
    <definedName name="QTDE_DE_POSTOS_12X36_DIU">'INSERÇÃO-DE-DADOS'!$F$19</definedName>
    <definedName name="QTDE_DE_POSTOS_12X36_NOT">'INSERÇÃO-DE-DADOS'!$F$20</definedName>
    <definedName name="QTDE_DE_POSTOS_44H">'INSERÇÃO-DE-DADOS'!$F$21</definedName>
    <definedName name="RAMO">'INSERÇÃO-DE-DADOS'!$B$1</definedName>
    <definedName name="SALARIO_BASE">'INSERÇÃO-DE-DADOS'!$F$33</definedName>
    <definedName name="SUBMOD_2_1_DEC_TERC_ADIC_FERIAS_12X36_DIU">'POSTO 12x36 HORAS - DIURNO'!$F$35</definedName>
    <definedName name="SUBMOD_2_1_DEC_TERC_ADIC_FERIAS_12X36_NOT">'POSTO 12x36 HORAS - NOTURNO'!$F$35</definedName>
    <definedName name="SUBMOD_2_1_DEC_TERC_ADIC_FERIAS_44H">#REF!</definedName>
    <definedName name="SUBMOD_2_2_GPS_FGTS_12X36_DIU">'POSTO 12x36 HORAS - DIURNO'!$F$46</definedName>
    <definedName name="SUBMOD_2_2_GPS_FGTS_12X36_NOT">'POSTO 12x36 HORAS - NOTURNO'!$F$46</definedName>
    <definedName name="SUBMOD_2_2_GPS_FGTS_44H">#REF!</definedName>
    <definedName name="SUBMOD_2_3_BENEFICIOS_12X36_DIU">'POSTO 12x36 HORAS - DIURNO'!$F$54</definedName>
    <definedName name="SUBMOD_2_3_BENEFICIOS_12X36_NOT">'POSTO 12x36 HORAS - NOTURNO'!$F$54</definedName>
    <definedName name="SUBMOD_2_3_BENEFICIOS_44H">#REF!</definedName>
    <definedName name="SUBMOD_4_1_AUSENCIAS_LEGAIS_44H">#REF!</definedName>
    <definedName name="SUBMOD_4_1_SUBSTITUTO_12X36_DIU">'POSTO 12x36 HORAS - DIURNO'!$F$71</definedName>
    <definedName name="SUBMOD_4_1_SUBSTITUTO_12X36_NOT">'POSTO 12x36 HORAS - NOTURNO'!$F$71</definedName>
    <definedName name="SUBMOD_4_1_SUBSTITUTO_44H">#REF!</definedName>
    <definedName name="SUBMOD_4_2_INTRAJORNADA_12X36_DIU">'POSTO 12x36 HORAS - DIURNO'!$F$75</definedName>
    <definedName name="SUBMOD_4_2_INTRAJORNADA_12X36_NOT">'POSTO 12x36 HORAS - NOTURNO'!$F$75</definedName>
    <definedName name="SUBMOD_4_2_INTRAJORNADA_44H">#REF!</definedName>
    <definedName name="TEMPO_INTERVALO_REFEICAO">'INSERÇÃO-DE-DADOS'!$F$57</definedName>
    <definedName name="TIPO_DE_SERVICO">'INSERÇÃO-DE-DADOS'!$E$24</definedName>
    <definedName name="TRANSPORTE_POR_DIA">'INSERÇÃO-DE-DADOS'!$F$42</definedName>
    <definedName name="UG">'INSERÇÃO-DE-DADOS'!$B$2</definedName>
    <definedName name="UNIFORMES">'INSERÇÃO-DE-DADOS'!$F$61</definedName>
    <definedName name="VALOR_TOTAL_EMPREGADO_12x36_DIU">'POSTO 12x36 HORAS - DIURNO'!$F$102</definedName>
    <definedName name="VALOR_TOTAL_EMPREGADO_12x36_NOT">'POSTO 12x36 HORAS - NOTURNO'!$F$102</definedName>
    <definedName name="VALOR_TOTAL_EMPREGADO_44H">#REF!</definedName>
    <definedName name="VALOR_TOTAL_POSTO_12x36_DIU">'POSTO 12x36 HORAS - DIURNO'!$F$103</definedName>
    <definedName name="VALOR_TOTAL_POSTO_12x36_NOT">'POSTO 12x36 HORAS - NOTURNO'!$F$103</definedName>
    <definedName name="VALOR_TOTAL_POSTO_44H">#REF!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1" l="1"/>
  <c r="F41" i="14" l="1"/>
  <c r="F40" i="14"/>
  <c r="E22" i="10" l="1"/>
  <c r="D22" i="10"/>
  <c r="E20" i="10"/>
  <c r="D20" i="10"/>
  <c r="E7" i="10" l="1"/>
  <c r="E6" i="10" l="1"/>
  <c r="E8" i="10" l="1"/>
  <c r="E21" i="12"/>
  <c r="E22" i="12" s="1"/>
  <c r="E20" i="12"/>
  <c r="F33" i="14" l="1"/>
  <c r="D18" i="10" l="1"/>
  <c r="F12" i="7"/>
  <c r="F12" i="2"/>
  <c r="D7" i="10"/>
  <c r="D6" i="10"/>
  <c r="D9" i="2" l="1"/>
  <c r="D9" i="7"/>
  <c r="B1" i="2"/>
  <c r="F2" i="7" l="1"/>
  <c r="F2" i="2"/>
  <c r="E31" i="12" l="1"/>
  <c r="C31" i="12"/>
  <c r="E70" i="7" l="1"/>
  <c r="E70" i="2"/>
  <c r="C7" i="10" l="1"/>
  <c r="F53" i="7" l="1"/>
  <c r="C53" i="7"/>
  <c r="F52" i="7"/>
  <c r="C52" i="7"/>
  <c r="F51" i="7"/>
  <c r="C51" i="7"/>
  <c r="F28" i="7"/>
  <c r="C28" i="7"/>
  <c r="F27" i="7"/>
  <c r="C27" i="7"/>
  <c r="C26" i="7"/>
  <c r="F53" i="2"/>
  <c r="F52" i="2"/>
  <c r="C52" i="2"/>
  <c r="C51" i="2"/>
  <c r="F51" i="2"/>
  <c r="F28" i="2"/>
  <c r="C28" i="2"/>
  <c r="C27" i="2"/>
  <c r="F27" i="2"/>
  <c r="D33" i="13" l="1"/>
  <c r="E33" i="13"/>
  <c r="F33" i="13"/>
  <c r="G33" i="13"/>
  <c r="H33" i="13"/>
  <c r="C33" i="13"/>
  <c r="C32" i="13"/>
  <c r="C34" i="13" s="1"/>
  <c r="D32" i="13"/>
  <c r="D34" i="13" s="1"/>
  <c r="E32" i="13"/>
  <c r="E34" i="13" s="1"/>
  <c r="F32" i="13"/>
  <c r="F34" i="13" s="1"/>
  <c r="G32" i="13"/>
  <c r="G34" i="13" s="1"/>
  <c r="H32" i="13"/>
  <c r="H34" i="13" s="1"/>
  <c r="C6" i="10" l="1"/>
  <c r="E11" i="10"/>
  <c r="D11" i="10"/>
  <c r="E18" i="10"/>
  <c r="G2" i="13"/>
  <c r="E2" i="13"/>
  <c r="C2" i="13"/>
  <c r="F2" i="10" l="1"/>
  <c r="B2" i="10"/>
  <c r="B1" i="10"/>
  <c r="F25" i="2"/>
  <c r="F23" i="7"/>
  <c r="E92" i="2"/>
  <c r="E91" i="2"/>
  <c r="E90" i="2"/>
  <c r="E88" i="2"/>
  <c r="E87" i="2"/>
  <c r="F82" i="2"/>
  <c r="C82" i="2"/>
  <c r="F81" i="2"/>
  <c r="F80" i="2"/>
  <c r="F79" i="2"/>
  <c r="C70" i="2"/>
  <c r="C53" i="2"/>
  <c r="F50" i="2"/>
  <c r="E45" i="2"/>
  <c r="E44" i="2"/>
  <c r="E43" i="2"/>
  <c r="E42" i="2"/>
  <c r="E41" i="2"/>
  <c r="E40" i="2"/>
  <c r="E39" i="2"/>
  <c r="E38" i="2"/>
  <c r="C26" i="2"/>
  <c r="F24" i="2"/>
  <c r="F36" i="11" s="1"/>
  <c r="F18" i="2"/>
  <c r="D17" i="2"/>
  <c r="D16" i="2"/>
  <c r="E15" i="2"/>
  <c r="F11" i="2"/>
  <c r="F10" i="2"/>
  <c r="F8" i="2"/>
  <c r="F6" i="2"/>
  <c r="D6" i="2"/>
  <c r="D5" i="2"/>
  <c r="B2" i="2"/>
  <c r="F82" i="7"/>
  <c r="C82" i="7"/>
  <c r="C70" i="7"/>
  <c r="E45" i="7"/>
  <c r="E44" i="7"/>
  <c r="E43" i="7"/>
  <c r="E42" i="7"/>
  <c r="E41" i="7"/>
  <c r="E40" i="7"/>
  <c r="E39" i="7"/>
  <c r="E38" i="7"/>
  <c r="F50" i="7"/>
  <c r="B1" i="7"/>
  <c r="B2" i="7"/>
  <c r="D5" i="7"/>
  <c r="D6" i="7"/>
  <c r="F6" i="7"/>
  <c r="F8" i="7"/>
  <c r="F10" i="7"/>
  <c r="F11" i="7"/>
  <c r="E14" i="7"/>
  <c r="D15" i="7"/>
  <c r="D16" i="7"/>
  <c r="F17" i="7"/>
  <c r="E87" i="7"/>
  <c r="E88" i="7"/>
  <c r="E90" i="7"/>
  <c r="E91" i="7"/>
  <c r="E92" i="7"/>
  <c r="E5" i="12"/>
  <c r="E33" i="7" s="1"/>
  <c r="E6" i="12"/>
  <c r="E34" i="7" s="1"/>
  <c r="E26" i="12"/>
  <c r="E27" i="12"/>
  <c r="E28" i="12"/>
  <c r="E29" i="12"/>
  <c r="E70" i="11"/>
  <c r="E71" i="11"/>
  <c r="E72" i="11"/>
  <c r="F49" i="2" l="1"/>
  <c r="F54" i="2" s="1"/>
  <c r="E68" i="7"/>
  <c r="E68" i="2"/>
  <c r="E67" i="7"/>
  <c r="E67" i="2"/>
  <c r="E66" i="2"/>
  <c r="E66" i="7"/>
  <c r="E65" i="2"/>
  <c r="E65" i="7"/>
  <c r="E33" i="2"/>
  <c r="E34" i="2"/>
  <c r="E89" i="2"/>
  <c r="F83" i="2"/>
  <c r="F100" i="2" s="1"/>
  <c r="E58" i="2"/>
  <c r="E58" i="7"/>
  <c r="E57" i="7"/>
  <c r="E57" i="2"/>
  <c r="E89" i="7"/>
  <c r="E17" i="12"/>
  <c r="F26" i="7" l="1"/>
  <c r="F26" i="2"/>
  <c r="F29" i="2" s="1"/>
  <c r="D13" i="10" s="1"/>
  <c r="E59" i="7"/>
  <c r="E59" i="2"/>
  <c r="E30" i="12"/>
  <c r="F96" i="2" l="1"/>
  <c r="F33" i="2"/>
  <c r="F34" i="2"/>
  <c r="F35" i="2" s="1"/>
  <c r="E69" i="2"/>
  <c r="E69" i="7"/>
  <c r="F38" i="2" l="1"/>
  <c r="F59" i="2"/>
  <c r="F45" i="2"/>
  <c r="F57" i="2" s="1"/>
  <c r="F40" i="2"/>
  <c r="F43" i="2"/>
  <c r="F44" i="2"/>
  <c r="F42" i="2"/>
  <c r="F39" i="2"/>
  <c r="F41" i="2"/>
  <c r="F46" i="2" l="1"/>
  <c r="F97" i="2" l="1"/>
  <c r="F58" i="2"/>
  <c r="F60" i="2" s="1"/>
  <c r="F69" i="2" s="1"/>
  <c r="F22" i="7"/>
  <c r="F24" i="7" s="1"/>
  <c r="F74" i="2" l="1"/>
  <c r="F68" i="2"/>
  <c r="F67" i="2"/>
  <c r="F98" i="2"/>
  <c r="F65" i="2"/>
  <c r="F70" i="2"/>
  <c r="F66" i="2"/>
  <c r="F49" i="7"/>
  <c r="F54" i="7" s="1"/>
  <c r="F25" i="7" l="1"/>
  <c r="F29" i="7" s="1"/>
  <c r="F33" i="7" l="1"/>
  <c r="E13" i="10"/>
  <c r="F34" i="7"/>
  <c r="F96" i="7"/>
  <c r="F35" i="7" l="1"/>
  <c r="F59" i="7" l="1"/>
  <c r="F45" i="7"/>
  <c r="F57" i="7" s="1"/>
  <c r="F44" i="7"/>
  <c r="F43" i="7"/>
  <c r="F41" i="7"/>
  <c r="F42" i="7"/>
  <c r="F39" i="7"/>
  <c r="F38" i="7"/>
  <c r="F40" i="7"/>
  <c r="F46" i="7" l="1"/>
  <c r="F75" i="2"/>
  <c r="F71" i="2"/>
  <c r="D12" i="10" s="1"/>
  <c r="D14" i="10" s="1"/>
  <c r="F97" i="7" l="1"/>
  <c r="F58" i="7"/>
  <c r="F60" i="7" s="1"/>
  <c r="F66" i="7" s="1"/>
  <c r="F87" i="2"/>
  <c r="F99" i="2"/>
  <c r="F79" i="7"/>
  <c r="F80" i="7"/>
  <c r="F81" i="7"/>
  <c r="F70" i="7" l="1"/>
  <c r="F68" i="7"/>
  <c r="F65" i="7"/>
  <c r="F98" i="7"/>
  <c r="F74" i="7"/>
  <c r="F75" i="7" s="1"/>
  <c r="F69" i="7"/>
  <c r="F67" i="7"/>
  <c r="F83" i="7"/>
  <c r="F100" i="7" s="1"/>
  <c r="F88" i="2"/>
  <c r="F90" i="2" s="1"/>
  <c r="F71" i="7" l="1"/>
  <c r="F91" i="2"/>
  <c r="F92" i="2"/>
  <c r="F99" i="7" l="1"/>
  <c r="E12" i="10"/>
  <c r="E14" i="10" s="1"/>
  <c r="F87" i="7"/>
  <c r="F88" i="7" s="1"/>
  <c r="F92" i="7" s="1"/>
  <c r="F89" i="2"/>
  <c r="F93" i="2" s="1"/>
  <c r="F101" i="2" s="1"/>
  <c r="F102" i="2" s="1"/>
  <c r="F103" i="2" s="1"/>
  <c r="D19" i="10" l="1"/>
  <c r="F6" i="10"/>
  <c r="G6" i="10" s="1"/>
  <c r="F90" i="7"/>
  <c r="F91" i="7"/>
  <c r="D21" i="10" l="1"/>
  <c r="D23" i="10" s="1"/>
  <c r="F89" i="7"/>
  <c r="F93" i="7" l="1"/>
  <c r="F101" i="7" s="1"/>
  <c r="F102" i="7" s="1"/>
  <c r="F103" i="7" l="1"/>
  <c r="E19" i="10" l="1"/>
  <c r="E21" i="10" s="1"/>
  <c r="F7" i="10"/>
  <c r="G7" i="10" s="1"/>
  <c r="G8" i="10" s="1"/>
  <c r="E23" i="10" l="1"/>
</calcChain>
</file>

<file path=xl/sharedStrings.xml><?xml version="1.0" encoding="utf-8"?>
<sst xmlns="http://schemas.openxmlformats.org/spreadsheetml/2006/main" count="649" uniqueCount="247">
  <si>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</si>
  <si>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</si>
  <si>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</si>
  <si>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</si>
  <si>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</si>
  <si>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</si>
  <si>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</si>
  <si>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</si>
  <si>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</si>
  <si>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</si>
  <si>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</si>
  <si>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</si>
  <si>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</si>
  <si>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</si>
  <si>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</si>
  <si>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</si>
  <si>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</si>
  <si>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</si>
  <si>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Materiais</t>
  </si>
  <si>
    <t>Valor    (R$)</t>
  </si>
  <si>
    <t>4.1</t>
  </si>
  <si>
    <t>4.2</t>
  </si>
  <si>
    <t>Custos Indiretos, Tributos e Lucro</t>
  </si>
  <si>
    <t>Tributos</t>
  </si>
  <si>
    <t>QUADRO RESUMO - VALOR MENSAL DOS SERVIÇOS</t>
  </si>
  <si>
    <t>PIS</t>
  </si>
  <si>
    <t>Cofins</t>
  </si>
  <si>
    <t>ISS</t>
  </si>
  <si>
    <t>II</t>
  </si>
  <si>
    <t>Tipo de Serviço</t>
  </si>
  <si>
    <t>ITEM</t>
  </si>
  <si>
    <t>VALOR TOTAL POR POSTO</t>
  </si>
  <si>
    <t>Valor por posto (R$)     (B)</t>
  </si>
  <si>
    <t>VALOR MENSAL DOS SERVIÇOS (I + II + III)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</si>
  <si>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</si>
  <si>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</si>
  <si>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</si>
  <si>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</si>
  <si>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</si>
  <si>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</si>
  <si>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</si>
  <si>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</si>
  <si>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</si>
  <si>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</si>
  <si>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</si>
  <si>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</si>
  <si>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</si>
  <si>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</si>
  <si>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</si>
  <si>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</si>
  <si>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</si>
  <si>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</si>
  <si>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</si>
  <si>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</si>
  <si>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</si>
  <si>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</si>
  <si>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CUSTOS REFERENTES AO POSTO 12X36 HORAS - DIURNO</t>
  </si>
  <si>
    <t>CUSTOS REFERENTES AO POSTO 12X36 HORAS - NOTURNO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</si>
  <si>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</si>
  <si>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</si>
  <si>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</si>
  <si>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</si>
  <si>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</si>
  <si>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</si>
  <si>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</si>
  <si>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</si>
  <si>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</si>
  <si>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</si>
  <si>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</si>
  <si>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</si>
  <si>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</si>
  <si>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</si>
  <si>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</si>
  <si>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</si>
  <si>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</si>
  <si>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</si>
  <si>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</si>
  <si>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</si>
  <si>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</si>
  <si>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</si>
  <si>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</si>
  <si>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</si>
  <si>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</si>
  <si>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</si>
  <si>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</si>
  <si>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</si>
  <si>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</si>
  <si>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</si>
  <si>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</si>
  <si>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</si>
  <si>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</si>
  <si>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</si>
  <si>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</si>
  <si>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</si>
  <si>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</si>
  <si>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</si>
  <si>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</si>
  <si>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</si>
  <si>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</si>
  <si>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</si>
  <si>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</si>
  <si>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</si>
  <si>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</si>
  <si>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</si>
  <si>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</si>
  <si>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</si>
  <si>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</si>
  <si>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</si>
  <si>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</si>
  <si>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</si>
  <si>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</si>
  <si>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CUSTOS REFERENTES A SERVIÇOS DE VIGILÂNCIA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</si>
  <si>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</si>
  <si>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</si>
  <si>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</si>
  <si>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</si>
  <si>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</si>
  <si>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</si>
  <si>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</si>
  <si>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</si>
  <si>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</si>
  <si>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</si>
  <si>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</si>
  <si>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</si>
  <si>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</si>
  <si>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</si>
  <si>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</si>
  <si>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</si>
  <si>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</si>
  <si>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</si>
  <si>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Dias de Ausências Legais</t>
  </si>
  <si>
    <t>Dias de Licença-Paternidade</t>
  </si>
  <si>
    <t>Nascidos Vivos / População Feminina (em %)</t>
  </si>
  <si>
    <t>Participação Masculina nos Serviços de Vigilância (em %)</t>
  </si>
  <si>
    <t>Tempo de Intervalo para Refeição (em minutos)</t>
  </si>
  <si>
    <t>Empregados afastados por acidente de trabalho (em %)</t>
  </si>
  <si>
    <t>Dias de Licença-Maternidade</t>
  </si>
  <si>
    <t>Participação Feminina nos Serviços de Vigilância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</si>
  <si>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</si>
  <si>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</si>
  <si>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</si>
  <si>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</si>
  <si>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</si>
  <si>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</si>
  <si>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Dias Trabalhados 12 x 36 horas</t>
  </si>
  <si>
    <t>Dias Trabalhados 44 horas</t>
  </si>
  <si>
    <t>Conta</t>
  </si>
  <si>
    <t>Qtde de postos
(A)</t>
  </si>
  <si>
    <t>Valor total do serviço (R$)          C = (AxB)</t>
  </si>
  <si>
    <t>Remuneração (B)</t>
  </si>
  <si>
    <t>Total de Encargos Sociais e Trabalhistas (A)*</t>
  </si>
  <si>
    <t>* Submódulo 2.1 + Submódulo 2.2 + Módulo 3 + Submódulo 4.1</t>
  </si>
  <si>
    <t>QUADRO RESUMO - ENCARGOS SOCIAIS E TRABALHISTAS EFETIVOS</t>
  </si>
  <si>
    <t>UF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</si>
  <si>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</si>
  <si>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</si>
  <si>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</si>
  <si>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</si>
  <si>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</si>
  <si>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</si>
  <si>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</si>
  <si>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</si>
  <si>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</si>
  <si>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</si>
  <si>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</si>
  <si>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</si>
  <si>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</si>
  <si>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</si>
  <si>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</si>
  <si>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</si>
  <si>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</si>
  <si>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</si>
  <si>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</si>
  <si>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</si>
  <si>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</si>
  <si>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</si>
  <si>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</si>
  <si>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</si>
  <si>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</si>
  <si>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</si>
  <si>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</si>
  <si>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Unidade da Federação</t>
  </si>
  <si>
    <t>LIMITES PARA CONTRATAÇÃO, CONFORME PORTARIAS SEGES/ME</t>
  </si>
  <si>
    <t>Valor do posto (em R$)</t>
  </si>
  <si>
    <t>em R$</t>
  </si>
  <si>
    <t>Local da Execução dos Serviços</t>
  </si>
  <si>
    <t>Posto</t>
  </si>
  <si>
    <t>Item</t>
  </si>
  <si>
    <t>LIMITE MÍNIMO</t>
  </si>
  <si>
    <t>LIMITE MÁXIMO</t>
  </si>
  <si>
    <t>Limite mínimo estabelecido por portaria da Seges (em R$)</t>
  </si>
  <si>
    <t>Limite máximo estabelecido por portaria da Seges (em R$)</t>
  </si>
  <si>
    <t>O valor estimado está ACIMA DO VALOR MÍNIMO estabelecido em portaria da Seges para a respectiva unidade da federação?</t>
  </si>
  <si>
    <t>O valor estimado está ABAIXO DO VALOR MÁXIMO estabelecido em portaria da Seges para a respectiva unidade da federação?</t>
  </si>
  <si>
    <t>MÉDIA</t>
  </si>
  <si>
    <t>MENOR VALOR</t>
  </si>
  <si>
    <t>MAIOR VALOR</t>
  </si>
  <si>
    <t>Outras Remunerações 2 (Especificar)</t>
  </si>
  <si>
    <t>Outras Remunerações 3 (Especificar)</t>
  </si>
  <si>
    <t>XX/XX/20XX</t>
  </si>
  <si>
    <t>XX/20XX</t>
  </si>
  <si>
    <t>HH:MM</t>
  </si>
  <si>
    <t>Outras Ausências (Especificar - em %)</t>
  </si>
  <si>
    <t>OBSERVAÇÃO</t>
  </si>
  <si>
    <t>A PARTIR DE</t>
  </si>
  <si>
    <t>Atualizado em 20/08/2019</t>
  </si>
  <si>
    <t>CUSTOS POR EMPREGADO</t>
  </si>
  <si>
    <t>Encargos Sociais e Trabalhistas Efetivos (C = A / B)</t>
  </si>
  <si>
    <t>DADOS ESTATÍSTICOS</t>
  </si>
  <si>
    <t>ENCARGOS SOCIAIS E TRABALHISTAS</t>
  </si>
  <si>
    <t>Vigilantes demitidos sem justa causa / Total de desligamentos (em %)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</si>
  <si>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</si>
  <si>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</si>
  <si>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</si>
  <si>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</si>
  <si>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</si>
  <si>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</si>
  <si>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</si>
  <si>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{[(20/30)/12] x 1,416% x 86,46%} x 100</t>
  </si>
  <si>
    <t>{[(180/30)/12] x 1,416% x 13,54%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</si>
  <si>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</si>
  <si>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</si>
  <si>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</si>
  <si>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</si>
  <si>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</si>
  <si>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</si>
  <si>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</si>
  <si>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</si>
  <si>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</si>
  <si>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[(62,93%) x 94,45% x (7/30)/12] x 100</t>
  </si>
  <si>
    <t>1,16% x 40%  x 8,00% x 100</t>
  </si>
  <si>
    <t>Multa do FGTS sobre o Aviso Prévio Trabalhado</t>
  </si>
  <si>
    <t>Seguro de vida</t>
  </si>
  <si>
    <t>Hora extra folga da Lei 11.911/2009</t>
  </si>
  <si>
    <t>Plano Ambulatorial</t>
  </si>
  <si>
    <t>Assistência Odontológica</t>
  </si>
  <si>
    <t>Seguro de vida em grupo</t>
  </si>
  <si>
    <t>Bombeiro Civil Masculino 12x36 horas - noturno</t>
  </si>
  <si>
    <t>Bombeiro Civil</t>
  </si>
  <si>
    <t>19.00.6181.0002269/2021-75</t>
  </si>
  <si>
    <t>Acordo, Conv. ou Sentença Normativa em Dissídio Coletivo (01/2021)</t>
  </si>
  <si>
    <t>01/2021</t>
  </si>
  <si>
    <t>Brigadista</t>
  </si>
  <si>
    <t>Outros (especificar)</t>
  </si>
  <si>
    <t>Bombeiro Civil Masculino e Feminino 12x36 horas - diurno</t>
  </si>
  <si>
    <t xml:space="preserve">RAMO: CONSELHO NACIONAL DO MINISTÉRIO PÚBLICO </t>
  </si>
  <si>
    <t>UNIDADE GESTORA (SIGLA): CNMP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</si>
</sst>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#,##0.00_ ;\-#,##0.00\ "/>
    <numFmt numFmtId="165" formatCode="#,##0.0"/>
    <numFmt numFmtId="166" formatCode="&quot;R$&quot;\ #,##0.00"/>
  </numFmts>
  <fonts count="4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sz val="10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  <font>
      <b/>
      <i/>
      <sz val="10"/>
      <name val="Segoe UI Light"/>
      <family val="2"/>
    </font>
    <font>
      <i/>
      <sz val="11"/>
      <name val="Segoe UI Light"/>
      <family val="2"/>
    </font>
    <font>
      <b/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26"/>
      </patternFill>
    </fill>
    <fill>
      <patternFill patternType="solid">
        <fgColor rgb="FFD55816"/>
        <bgColor indexed="4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rgb="FFD3D3D3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theme="0" tint="-4.9989318521683403E-2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9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266">
    <xf numFmtId="0" fontId="0" fillId="0" borderId="0" xfId="0"/>
    <xf numFmtId="0" fontId="27" fillId="27" borderId="10" xfId="0" applyFont="1" applyFill="1" applyBorder="1" applyAlignment="1" applyProtection="1">
      <alignment horizontal="center" vertical="center"/>
    </xf>
    <xf numFmtId="0" fontId="27" fillId="27" borderId="10" xfId="0" applyFont="1" applyFill="1" applyBorder="1" applyAlignment="1" applyProtection="1">
      <alignment horizontal="center" vertical="center" wrapText="1"/>
    </xf>
    <xf numFmtId="0" fontId="27" fillId="28" borderId="10" xfId="0" applyFont="1" applyFill="1" applyBorder="1" applyAlignment="1" applyProtection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29" borderId="10" xfId="0" applyFont="1" applyFill="1" applyBorder="1" applyAlignment="1" applyProtection="1">
      <alignment horizontal="center" vertical="center" wrapText="1"/>
    </xf>
    <xf numFmtId="3" fontId="27" fillId="27" borderId="10" xfId="0" applyNumberFormat="1" applyFont="1" applyFill="1" applyBorder="1" applyAlignment="1" applyProtection="1">
      <alignment horizontal="center" vertical="center" wrapText="1"/>
    </xf>
    <xf numFmtId="4" fontId="27" fillId="27" borderId="10" xfId="0" applyNumberFormat="1" applyFont="1" applyFill="1" applyBorder="1" applyAlignment="1" applyProtection="1">
      <alignment vertical="center" wrapText="1"/>
    </xf>
    <xf numFmtId="4" fontId="27" fillId="27" borderId="10" xfId="0" applyNumberFormat="1" applyFont="1" applyFill="1" applyBorder="1" applyAlignment="1" applyProtection="1">
      <alignment horizontal="right" vertical="center" wrapText="1"/>
    </xf>
    <xf numFmtId="3" fontId="20" fillId="30" borderId="10" xfId="0" applyNumberFormat="1" applyFont="1" applyFill="1" applyBorder="1" applyAlignment="1" applyProtection="1">
      <alignment horizontal="center" vertical="center" wrapText="1"/>
    </xf>
    <xf numFmtId="4" fontId="20" fillId="30" borderId="10" xfId="0" applyNumberFormat="1" applyFont="1" applyFill="1" applyBorder="1" applyAlignment="1" applyProtection="1">
      <alignment vertical="center" wrapText="1"/>
    </xf>
    <xf numFmtId="4" fontId="20" fillId="30" borderId="10" xfId="0" applyNumberFormat="1" applyFont="1" applyFill="1" applyBorder="1" applyAlignment="1" applyProtection="1">
      <alignment horizontal="right" vertical="center" wrapText="1"/>
    </xf>
    <xf numFmtId="3" fontId="20" fillId="31" borderId="10" xfId="0" applyNumberFormat="1" applyFont="1" applyFill="1" applyBorder="1" applyAlignment="1" applyProtection="1">
      <alignment horizontal="center" vertical="center" wrapText="1"/>
    </xf>
    <xf numFmtId="4" fontId="20" fillId="31" borderId="10" xfId="0" applyNumberFormat="1" applyFont="1" applyFill="1" applyBorder="1" applyAlignment="1" applyProtection="1">
      <alignment vertical="center" wrapText="1"/>
    </xf>
    <xf numFmtId="4" fontId="20" fillId="31" borderId="10" xfId="0" applyNumberFormat="1" applyFont="1" applyFill="1" applyBorder="1" applyAlignment="1" applyProtection="1">
      <alignment horizontal="right" vertical="center" wrapText="1"/>
    </xf>
    <xf numFmtId="0" fontId="23" fillId="24" borderId="0" xfId="0" applyFont="1" applyFill="1" applyBorder="1" applyAlignment="1" applyProtection="1"/>
    <xf numFmtId="0" fontId="23" fillId="25" borderId="0" xfId="0" applyFont="1" applyFill="1" applyBorder="1" applyAlignment="1" applyProtection="1">
      <alignment horizontal="left" vertical="center" wrapText="1"/>
    </xf>
    <xf numFmtId="0" fontId="20" fillId="25" borderId="0" xfId="0" applyFont="1" applyFill="1" applyProtection="1"/>
    <xf numFmtId="39" fontId="20" fillId="25" borderId="0" xfId="0" applyNumberFormat="1" applyFont="1" applyFill="1" applyBorder="1" applyAlignment="1" applyProtection="1">
      <alignment horizontal="right"/>
    </xf>
    <xf numFmtId="0" fontId="20" fillId="25" borderId="0" xfId="0" applyFont="1" applyFill="1" applyBorder="1" applyAlignment="1" applyProtection="1">
      <alignment horizontal="left" vertical="center" wrapText="1"/>
    </xf>
    <xf numFmtId="0" fontId="25" fillId="25" borderId="0" xfId="0" applyFont="1" applyFill="1" applyBorder="1" applyAlignment="1" applyProtection="1">
      <alignment horizontal="left" vertical="center"/>
    </xf>
    <xf numFmtId="0" fontId="20" fillId="25" borderId="0" xfId="0" applyFont="1" applyFill="1" applyBorder="1" applyProtection="1"/>
    <xf numFmtId="0" fontId="20" fillId="25" borderId="0" xfId="0" applyFont="1" applyFill="1" applyBorder="1" applyAlignment="1" applyProtection="1">
      <alignment horizontal="center"/>
    </xf>
    <xf numFmtId="0" fontId="20" fillId="26" borderId="0" xfId="0" applyFont="1" applyFill="1" applyProtection="1"/>
    <xf numFmtId="39" fontId="23" fillId="25" borderId="0" xfId="0" applyNumberFormat="1" applyFont="1" applyFill="1" applyBorder="1" applyAlignment="1" applyProtection="1">
      <alignment horizontal="center" vertical="center" wrapText="1"/>
    </xf>
    <xf numFmtId="39" fontId="20" fillId="25" borderId="0" xfId="0" applyNumberFormat="1" applyFont="1" applyFill="1" applyAlignment="1" applyProtection="1">
      <alignment horizontal="center"/>
    </xf>
    <xf numFmtId="0" fontId="23" fillId="25" borderId="0" xfId="0" applyFont="1" applyFill="1" applyBorder="1" applyAlignment="1" applyProtection="1">
      <alignment horizontal="center" vertical="center" wrapText="1"/>
    </xf>
    <xf numFmtId="39" fontId="20" fillId="25" borderId="0" xfId="0" applyNumberFormat="1" applyFont="1" applyFill="1" applyBorder="1" applyAlignment="1" applyProtection="1">
      <alignment horizontal="center" vertical="center" wrapText="1"/>
    </xf>
    <xf numFmtId="49" fontId="20" fillId="32" borderId="10" xfId="0" applyNumberFormat="1" applyFont="1" applyFill="1" applyBorder="1" applyAlignment="1" applyProtection="1">
      <alignment horizontal="center"/>
      <protection locked="0"/>
    </xf>
    <xf numFmtId="0" fontId="27" fillId="27" borderId="10" xfId="0" applyFont="1" applyFill="1" applyBorder="1" applyAlignment="1" applyProtection="1">
      <alignment horizontal="center"/>
    </xf>
    <xf numFmtId="14" fontId="20" fillId="32" borderId="10" xfId="0" applyNumberFormat="1" applyFont="1" applyFill="1" applyBorder="1" applyAlignment="1" applyProtection="1">
      <alignment horizontal="center"/>
      <protection locked="0"/>
    </xf>
    <xf numFmtId="0" fontId="20" fillId="31" borderId="10" xfId="0" applyFont="1" applyFill="1" applyBorder="1" applyAlignment="1" applyProtection="1"/>
    <xf numFmtId="0" fontId="27" fillId="25" borderId="0" xfId="0" applyFont="1" applyFill="1" applyBorder="1" applyAlignment="1" applyProtection="1">
      <alignment horizontal="center"/>
    </xf>
    <xf numFmtId="0" fontId="20" fillId="25" borderId="0" xfId="0" applyFont="1" applyFill="1" applyBorder="1" applyAlignment="1" applyProtection="1">
      <alignment horizontal="left"/>
    </xf>
    <xf numFmtId="0" fontId="31" fillId="27" borderId="10" xfId="0" applyFont="1" applyFill="1" applyBorder="1" applyAlignment="1" applyProtection="1">
      <alignment horizontal="center" vertical="center" wrapText="1"/>
    </xf>
    <xf numFmtId="39" fontId="26" fillId="31" borderId="10" xfId="0" applyNumberFormat="1" applyFont="1" applyFill="1" applyBorder="1" applyAlignment="1" applyProtection="1">
      <alignment horizontal="center" vertical="center" wrapText="1"/>
    </xf>
    <xf numFmtId="39" fontId="20" fillId="35" borderId="10" xfId="0" applyNumberFormat="1" applyFont="1" applyFill="1" applyBorder="1" applyAlignment="1" applyProtection="1">
      <alignment horizontal="right" vertical="center" wrapText="1"/>
      <protection locked="0"/>
    </xf>
    <xf numFmtId="0" fontId="32" fillId="25" borderId="0" xfId="0" applyFont="1" applyFill="1" applyBorder="1" applyAlignment="1" applyProtection="1">
      <alignment horizontal="left" vertical="center"/>
    </xf>
    <xf numFmtId="0" fontId="30" fillId="25" borderId="0" xfId="0" applyFont="1" applyFill="1" applyBorder="1" applyAlignment="1" applyProtection="1">
      <alignment horizontal="left" vertical="center" wrapText="1"/>
    </xf>
    <xf numFmtId="39" fontId="30" fillId="25" borderId="0" xfId="0" applyNumberFormat="1" applyFont="1" applyFill="1" applyBorder="1" applyAlignment="1" applyProtection="1">
      <alignment horizontal="center" vertical="center" wrapText="1"/>
    </xf>
    <xf numFmtId="39" fontId="20" fillId="31" borderId="10" xfId="0" applyNumberFormat="1" applyFont="1" applyFill="1" applyBorder="1" applyAlignment="1" applyProtection="1">
      <alignment horizontal="right" vertical="center" wrapText="1"/>
    </xf>
    <xf numFmtId="39" fontId="27" fillId="27" borderId="10" xfId="0" applyNumberFormat="1" applyFont="1" applyFill="1" applyBorder="1" applyAlignment="1" applyProtection="1">
      <alignment horizontal="right" vertical="center" wrapText="1"/>
    </xf>
    <xf numFmtId="2" fontId="20" fillId="31" borderId="10" xfId="0" applyNumberFormat="1" applyFont="1" applyFill="1" applyBorder="1" applyAlignment="1" applyProtection="1">
      <alignment horizontal="center" vertical="center"/>
    </xf>
    <xf numFmtId="2" fontId="27" fillId="27" borderId="10" xfId="0" applyNumberFormat="1" applyFont="1" applyFill="1" applyBorder="1" applyAlignment="1" applyProtection="1">
      <alignment horizontal="center" vertical="center"/>
    </xf>
    <xf numFmtId="4" fontId="27" fillId="36" borderId="10" xfId="0" applyNumberFormat="1" applyFont="1" applyFill="1" applyBorder="1" applyAlignment="1" applyProtection="1">
      <alignment horizontal="right" vertical="center" wrapText="1"/>
    </xf>
    <xf numFmtId="4" fontId="27" fillId="27" borderId="10" xfId="0" applyNumberFormat="1" applyFont="1" applyFill="1" applyBorder="1" applyAlignment="1" applyProtection="1">
      <alignment horizontal="right"/>
    </xf>
    <xf numFmtId="4" fontId="27" fillId="27" borderId="10" xfId="0" applyNumberFormat="1" applyFont="1" applyFill="1" applyBorder="1" applyAlignment="1" applyProtection="1">
      <alignment horizontal="right" vertical="center"/>
    </xf>
    <xf numFmtId="4" fontId="27" fillId="36" borderId="11" xfId="0" applyNumberFormat="1" applyFont="1" applyFill="1" applyBorder="1" applyAlignment="1" applyProtection="1">
      <alignment horizontal="right" vertical="center" wrapText="1"/>
    </xf>
    <xf numFmtId="0" fontId="27" fillId="27" borderId="11" xfId="0" applyFont="1" applyFill="1" applyBorder="1" applyAlignment="1" applyProtection="1">
      <alignment horizontal="center"/>
    </xf>
    <xf numFmtId="2" fontId="20" fillId="31" borderId="10" xfId="0" applyNumberFormat="1" applyFont="1" applyFill="1" applyBorder="1" applyAlignment="1" applyProtection="1">
      <alignment horizontal="center" vertical="center" wrapText="1"/>
    </xf>
    <xf numFmtId="39" fontId="20" fillId="31" borderId="11" xfId="0" applyNumberFormat="1" applyFont="1" applyFill="1" applyBorder="1" applyAlignment="1" applyProtection="1">
      <alignment horizontal="right" vertical="center" wrapText="1"/>
    </xf>
    <xf numFmtId="39" fontId="20" fillId="31" borderId="10" xfId="0" applyNumberFormat="1" applyFont="1" applyFill="1" applyBorder="1" applyAlignment="1" applyProtection="1">
      <alignment horizontal="center" vertical="center" wrapText="1"/>
    </xf>
    <xf numFmtId="0" fontId="27" fillId="27" borderId="11" xfId="0" applyFont="1" applyFill="1" applyBorder="1" applyAlignment="1" applyProtection="1">
      <alignment horizontal="center" vertical="center"/>
    </xf>
    <xf numFmtId="0" fontId="27" fillId="29" borderId="11" xfId="0" applyFont="1" applyFill="1" applyBorder="1" applyAlignment="1" applyProtection="1">
      <alignment horizontal="center" vertical="center" wrapText="1"/>
    </xf>
    <xf numFmtId="0" fontId="33" fillId="25" borderId="0" xfId="0" applyFont="1" applyFill="1" applyAlignment="1" applyProtection="1">
      <alignment horizontal="left"/>
    </xf>
    <xf numFmtId="0" fontId="34" fillId="25" borderId="0" xfId="0" applyFont="1" applyFill="1" applyBorder="1" applyAlignment="1" applyProtection="1">
      <alignment horizontal="left" vertical="center"/>
    </xf>
    <xf numFmtId="164" fontId="20" fillId="31" borderId="10" xfId="0" applyNumberFormat="1" applyFont="1" applyFill="1" applyBorder="1" applyAlignment="1" applyProtection="1">
      <alignment horizontal="center" vertical="center" wrapText="1"/>
    </xf>
    <xf numFmtId="0" fontId="20" fillId="37" borderId="10" xfId="0" applyFont="1" applyFill="1" applyBorder="1" applyAlignment="1" applyProtection="1"/>
    <xf numFmtId="4" fontId="20" fillId="37" borderId="10" xfId="0" applyNumberFormat="1" applyFont="1" applyFill="1" applyBorder="1" applyAlignment="1" applyProtection="1">
      <alignment horizontal="right" vertical="center" wrapText="1"/>
    </xf>
    <xf numFmtId="39" fontId="20" fillId="37" borderId="10" xfId="0" applyNumberFormat="1" applyFont="1" applyFill="1" applyBorder="1" applyAlignment="1" applyProtection="1">
      <alignment horizontal="right" vertical="center" wrapText="1"/>
    </xf>
    <xf numFmtId="2" fontId="20" fillId="37" borderId="10" xfId="0" applyNumberFormat="1" applyFont="1" applyFill="1" applyBorder="1" applyAlignment="1" applyProtection="1">
      <alignment horizontal="center" vertical="center" wrapText="1"/>
    </xf>
    <xf numFmtId="39" fontId="20" fillId="37" borderId="11" xfId="0" applyNumberFormat="1" applyFont="1" applyFill="1" applyBorder="1" applyAlignment="1" applyProtection="1">
      <alignment horizontal="right" vertical="center" wrapText="1"/>
    </xf>
    <xf numFmtId="39" fontId="20" fillId="37" borderId="10" xfId="0" applyNumberFormat="1" applyFont="1" applyFill="1" applyBorder="1" applyAlignment="1" applyProtection="1">
      <alignment horizontal="center" vertical="center" wrapText="1"/>
    </xf>
    <xf numFmtId="39" fontId="26" fillId="37" borderId="10" xfId="0" applyNumberFormat="1" applyFont="1" applyFill="1" applyBorder="1" applyAlignment="1" applyProtection="1">
      <alignment horizontal="center" vertical="center" wrapText="1"/>
    </xf>
    <xf numFmtId="39" fontId="26" fillId="31" borderId="10" xfId="0" applyNumberFormat="1" applyFont="1" applyFill="1" applyBorder="1" applyAlignment="1" applyProtection="1">
      <alignment horizontal="right" vertical="center" wrapText="1"/>
    </xf>
    <xf numFmtId="39" fontId="26" fillId="37" borderId="10" xfId="0" applyNumberFormat="1" applyFont="1" applyFill="1" applyBorder="1" applyAlignment="1" applyProtection="1">
      <alignment horizontal="right" vertical="center" wrapText="1"/>
    </xf>
    <xf numFmtId="0" fontId="27" fillId="27" borderId="13" xfId="0" applyFont="1" applyFill="1" applyBorder="1" applyAlignment="1" applyProtection="1">
      <alignment horizontal="center" vertical="center" wrapText="1"/>
    </xf>
    <xf numFmtId="0" fontId="20" fillId="33" borderId="10" xfId="0" applyFont="1" applyFill="1" applyBorder="1" applyAlignment="1" applyProtection="1">
      <alignment horizontal="justify" vertical="center" wrapText="1"/>
    </xf>
    <xf numFmtId="4" fontId="20" fillId="32" borderId="10" xfId="0" applyNumberFormat="1" applyFont="1" applyFill="1" applyBorder="1" applyAlignment="1" applyProtection="1">
      <alignment horizontal="right"/>
      <protection locked="0"/>
    </xf>
    <xf numFmtId="10" fontId="27" fillId="27" borderId="10" xfId="0" applyNumberFormat="1" applyFont="1" applyFill="1" applyBorder="1" applyAlignment="1" applyProtection="1">
      <alignment horizontal="center" vertical="center" wrapText="1"/>
    </xf>
    <xf numFmtId="166" fontId="20" fillId="30" borderId="10" xfId="0" applyNumberFormat="1" applyFont="1" applyFill="1" applyBorder="1" applyAlignment="1" applyProtection="1">
      <alignment horizontal="right" vertical="center" wrapText="1"/>
    </xf>
    <xf numFmtId="166" fontId="20" fillId="31" borderId="10" xfId="0" applyNumberFormat="1" applyFont="1" applyFill="1" applyBorder="1" applyAlignment="1" applyProtection="1">
      <alignment horizontal="right" vertical="center" wrapText="1"/>
    </xf>
    <xf numFmtId="0" fontId="20" fillId="32" borderId="10" xfId="0" applyFont="1" applyFill="1" applyBorder="1" applyAlignment="1" applyProtection="1">
      <alignment horizontal="center" vertical="center"/>
      <protection locked="0"/>
    </xf>
    <xf numFmtId="0" fontId="20" fillId="0" borderId="0" xfId="0" applyFont="1"/>
    <xf numFmtId="3" fontId="20" fillId="30" borderId="10" xfId="0" applyNumberFormat="1" applyFont="1" applyFill="1" applyBorder="1" applyAlignment="1" applyProtection="1">
      <alignment horizontal="left" vertical="center" wrapText="1"/>
    </xf>
    <xf numFmtId="3" fontId="20" fillId="31" borderId="10" xfId="0" applyNumberFormat="1" applyFont="1" applyFill="1" applyBorder="1" applyAlignment="1" applyProtection="1">
      <alignment horizontal="left" vertical="center" wrapText="1"/>
    </xf>
    <xf numFmtId="3" fontId="20" fillId="31" borderId="10" xfId="0" applyNumberFormat="1" applyFont="1" applyFill="1" applyBorder="1" applyAlignment="1" applyProtection="1">
      <alignment horizontal="right" vertical="center" wrapText="1"/>
    </xf>
    <xf numFmtId="165" fontId="20" fillId="31" borderId="10" xfId="0" applyNumberFormat="1" applyFont="1" applyFill="1" applyBorder="1" applyAlignment="1" applyProtection="1">
      <alignment horizontal="right" vertical="center" wrapText="1"/>
    </xf>
    <xf numFmtId="3" fontId="20" fillId="37" borderId="10" xfId="0" applyNumberFormat="1" applyFont="1" applyFill="1" applyBorder="1" applyAlignment="1" applyProtection="1">
      <alignment horizontal="right" vertical="center" wrapText="1"/>
    </xf>
    <xf numFmtId="165" fontId="20" fillId="37" borderId="10" xfId="0" applyNumberFormat="1" applyFont="1" applyFill="1" applyBorder="1" applyAlignment="1" applyProtection="1">
      <alignment horizontal="right" vertical="center" wrapText="1"/>
    </xf>
    <xf numFmtId="37" fontId="20" fillId="37" borderId="10" xfId="0" applyNumberFormat="1" applyFont="1" applyFill="1" applyBorder="1" applyAlignment="1" applyProtection="1">
      <alignment horizontal="right" vertical="center" wrapText="1"/>
    </xf>
    <xf numFmtId="37" fontId="20" fillId="31" borderId="10" xfId="0" applyNumberFormat="1" applyFont="1" applyFill="1" applyBorder="1" applyAlignment="1" applyProtection="1">
      <alignment horizontal="right" vertical="center" wrapText="1"/>
    </xf>
    <xf numFmtId="0" fontId="27" fillId="28" borderId="20" xfId="0" applyFont="1" applyFill="1" applyBorder="1" applyAlignment="1" applyProtection="1">
      <alignment horizontal="center" vertical="center" wrapText="1"/>
    </xf>
    <xf numFmtId="0" fontId="37" fillId="0" borderId="0" xfId="0" applyFont="1" applyAlignment="1">
      <alignment horizontal="right"/>
    </xf>
    <xf numFmtId="4" fontId="38" fillId="30" borderId="10" xfId="0" applyNumberFormat="1" applyFont="1" applyFill="1" applyBorder="1" applyAlignment="1" applyProtection="1">
      <alignment horizontal="right" vertical="center" wrapText="1"/>
    </xf>
    <xf numFmtId="0" fontId="20" fillId="32" borderId="13" xfId="0" applyFont="1" applyFill="1" applyBorder="1" applyAlignment="1" applyProtection="1">
      <alignment horizontal="center"/>
      <protection locked="0"/>
    </xf>
    <xf numFmtId="4" fontId="20" fillId="34" borderId="10" xfId="0" applyNumberFormat="1" applyFont="1" applyFill="1" applyBorder="1" applyAlignment="1" applyProtection="1">
      <alignment horizontal="right" vertical="center" wrapText="1"/>
      <protection locked="0"/>
    </xf>
    <xf numFmtId="3" fontId="20" fillId="34" borderId="10" xfId="0" applyNumberFormat="1" applyFont="1" applyFill="1" applyBorder="1" applyAlignment="1" applyProtection="1">
      <alignment horizontal="right" vertical="center" wrapText="1"/>
      <protection locked="0"/>
    </xf>
    <xf numFmtId="39" fontId="20" fillId="34" borderId="10" xfId="0" applyNumberFormat="1" applyFont="1" applyFill="1" applyBorder="1" applyAlignment="1" applyProtection="1">
      <alignment horizontal="right" vertical="center" wrapText="1"/>
      <protection locked="0"/>
    </xf>
    <xf numFmtId="39" fontId="20" fillId="34" borderId="11" xfId="0" applyNumberFormat="1" applyFont="1" applyFill="1" applyBorder="1" applyAlignment="1" applyProtection="1">
      <alignment horizontal="right" vertical="center" wrapText="1"/>
      <protection locked="0"/>
    </xf>
    <xf numFmtId="14" fontId="27" fillId="27" borderId="10" xfId="0" applyNumberFormat="1" applyFont="1" applyFill="1" applyBorder="1" applyAlignment="1">
      <alignment horizontal="center" vertical="center"/>
    </xf>
    <xf numFmtId="4" fontId="27" fillId="27" borderId="10" xfId="0" applyNumberFormat="1" applyFont="1" applyFill="1" applyBorder="1" applyAlignment="1">
      <alignment horizontal="right" vertical="center"/>
    </xf>
    <xf numFmtId="0" fontId="34" fillId="25" borderId="0" xfId="0" applyFont="1" applyFill="1" applyBorder="1" applyAlignment="1" applyProtection="1">
      <alignment vertical="center"/>
    </xf>
    <xf numFmtId="0" fontId="21" fillId="32" borderId="13" xfId="0" applyFont="1" applyFill="1" applyBorder="1" applyAlignment="1" applyProtection="1">
      <protection locked="0"/>
    </xf>
    <xf numFmtId="39" fontId="20" fillId="34" borderId="10" xfId="0" applyNumberFormat="1" applyFont="1" applyFill="1" applyBorder="1" applyAlignment="1" applyProtection="1">
      <alignment horizontal="center" vertical="center" wrapText="1"/>
      <protection locked="0"/>
    </xf>
    <xf numFmtId="0" fontId="20" fillId="32" borderId="13" xfId="0" applyFont="1" applyFill="1" applyBorder="1" applyAlignment="1" applyProtection="1">
      <alignment horizontal="center" vertical="center" wrapText="1"/>
      <protection locked="0"/>
    </xf>
    <xf numFmtId="0" fontId="20" fillId="31" borderId="10" xfId="0" applyFont="1" applyFill="1" applyBorder="1" applyAlignment="1" applyProtection="1">
      <alignment horizontal="left" vertical="center" wrapText="1"/>
    </xf>
    <xf numFmtId="0" fontId="27" fillId="27" borderId="13" xfId="0" applyFont="1" applyFill="1" applyBorder="1" applyAlignment="1" applyProtection="1">
      <alignment horizontal="center" vertical="center"/>
    </xf>
    <xf numFmtId="0" fontId="27" fillId="27" borderId="12" xfId="0" applyFont="1" applyFill="1" applyBorder="1" applyAlignment="1" applyProtection="1">
      <alignment horizontal="center" vertical="center"/>
    </xf>
    <xf numFmtId="0" fontId="22" fillId="26" borderId="0" xfId="0" applyFont="1" applyFill="1" applyProtection="1"/>
    <xf numFmtId="0" fontId="22" fillId="26" borderId="0" xfId="0" applyFont="1" applyFill="1" applyBorder="1" applyProtection="1"/>
    <xf numFmtId="0" fontId="23" fillId="24" borderId="0" xfId="0" applyFont="1" applyFill="1" applyBorder="1" applyAlignment="1" applyProtection="1">
      <alignment horizontal="left"/>
    </xf>
    <xf numFmtId="49" fontId="20" fillId="24" borderId="0" xfId="0" applyNumberFormat="1" applyFont="1" applyFill="1" applyBorder="1" applyAlignment="1" applyProtection="1">
      <alignment horizontal="center"/>
    </xf>
    <xf numFmtId="0" fontId="20" fillId="37" borderId="10" xfId="0" applyNumberFormat="1" applyFont="1" applyFill="1" applyBorder="1" applyAlignment="1" applyProtection="1">
      <alignment horizontal="center"/>
    </xf>
    <xf numFmtId="0" fontId="22" fillId="26" borderId="0" xfId="0" applyFont="1" applyFill="1" applyAlignment="1" applyProtection="1">
      <alignment horizontal="center" vertical="center"/>
    </xf>
    <xf numFmtId="0" fontId="20" fillId="25" borderId="0" xfId="0" applyNumberFormat="1" applyFont="1" applyFill="1" applyBorder="1" applyAlignment="1" applyProtection="1">
      <alignment horizontal="center"/>
    </xf>
    <xf numFmtId="14" fontId="20" fillId="26" borderId="0" xfId="0" applyNumberFormat="1" applyFont="1" applyFill="1" applyBorder="1" applyAlignment="1" applyProtection="1">
      <alignment horizontal="center"/>
    </xf>
    <xf numFmtId="0" fontId="29" fillId="25" borderId="0" xfId="0" applyFont="1" applyFill="1" applyProtection="1"/>
    <xf numFmtId="0" fontId="28" fillId="25" borderId="0" xfId="0" applyFont="1" applyFill="1" applyProtection="1"/>
    <xf numFmtId="0" fontId="28" fillId="25" borderId="0" xfId="0" applyFont="1" applyFill="1" applyAlignment="1" applyProtection="1">
      <alignment wrapText="1"/>
    </xf>
    <xf numFmtId="0" fontId="28" fillId="25" borderId="0" xfId="0" applyFont="1" applyFill="1" applyAlignment="1" applyProtection="1">
      <alignment horizontal="center" wrapText="1"/>
    </xf>
    <xf numFmtId="0" fontId="20" fillId="25" borderId="0" xfId="0" applyFont="1" applyFill="1" applyAlignment="1" applyProtection="1">
      <alignment wrapText="1"/>
    </xf>
    <xf numFmtId="0" fontId="20" fillId="37" borderId="10" xfId="0" applyFont="1" applyFill="1" applyBorder="1" applyAlignment="1" applyProtection="1">
      <alignment horizontal="center"/>
    </xf>
    <xf numFmtId="0" fontId="20" fillId="31" borderId="10" xfId="0" applyFont="1" applyFill="1" applyBorder="1" applyAlignment="1" applyProtection="1">
      <alignment horizontal="center"/>
    </xf>
    <xf numFmtId="14" fontId="21" fillId="33" borderId="13" xfId="0" applyNumberFormat="1" applyFont="1" applyFill="1" applyBorder="1" applyAlignment="1" applyProtection="1">
      <alignment horizontal="right"/>
    </xf>
    <xf numFmtId="14" fontId="21" fillId="33" borderId="13" xfId="0" applyNumberFormat="1" applyFont="1" applyFill="1" applyBorder="1" applyAlignment="1" applyProtection="1"/>
    <xf numFmtId="0" fontId="24" fillId="25" borderId="0" xfId="0" applyFont="1" applyFill="1" applyProtection="1"/>
    <xf numFmtId="0" fontId="26" fillId="25" borderId="0" xfId="0" applyFont="1" applyFill="1" applyProtection="1"/>
    <xf numFmtId="37" fontId="20" fillId="37" borderId="10" xfId="0" applyNumberFormat="1" applyFont="1" applyFill="1" applyBorder="1" applyAlignment="1" applyProtection="1">
      <alignment horizontal="center"/>
    </xf>
    <xf numFmtId="2" fontId="20" fillId="33" borderId="10" xfId="0" applyNumberFormat="1" applyFont="1" applyFill="1" applyBorder="1" applyAlignment="1" applyProtection="1">
      <alignment horizontal="center"/>
    </xf>
    <xf numFmtId="14" fontId="20" fillId="38" borderId="10" xfId="0" applyNumberFormat="1" applyFont="1" applyFill="1" applyBorder="1" applyAlignment="1" applyProtection="1">
      <alignment horizontal="center"/>
    </xf>
    <xf numFmtId="2" fontId="20" fillId="38" borderId="10" xfId="0" applyNumberFormat="1" applyFont="1" applyFill="1" applyBorder="1" applyAlignment="1" applyProtection="1">
      <alignment horizontal="center"/>
    </xf>
    <xf numFmtId="0" fontId="20" fillId="31" borderId="10" xfId="0" applyNumberFormat="1" applyFont="1" applyFill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 vertical="center"/>
    </xf>
    <xf numFmtId="0" fontId="23" fillId="24" borderId="0" xfId="0" applyFont="1" applyFill="1" applyBorder="1" applyAlignment="1" applyProtection="1">
      <alignment horizontal="left" vertical="center"/>
    </xf>
    <xf numFmtId="0" fontId="30" fillId="25" borderId="0" xfId="0" applyFont="1" applyFill="1" applyProtection="1"/>
    <xf numFmtId="0" fontId="29" fillId="25" borderId="0" xfId="0" applyFont="1" applyFill="1" applyAlignment="1" applyProtection="1">
      <alignment vertical="top"/>
    </xf>
    <xf numFmtId="0" fontId="20" fillId="25" borderId="0" xfId="0" applyFont="1" applyFill="1" applyAlignment="1" applyProtection="1">
      <alignment vertical="top"/>
    </xf>
    <xf numFmtId="0" fontId="22" fillId="26" borderId="0" xfId="0" applyFont="1" applyFill="1" applyAlignment="1" applyProtection="1">
      <alignment vertical="top"/>
    </xf>
    <xf numFmtId="0" fontId="28" fillId="25" borderId="0" xfId="0" applyFont="1" applyFill="1" applyAlignment="1" applyProtection="1">
      <alignment horizontal="left" wrapText="1"/>
    </xf>
    <xf numFmtId="164" fontId="20" fillId="25" borderId="0" xfId="0" applyNumberFormat="1" applyFont="1" applyFill="1" applyProtection="1"/>
    <xf numFmtId="49" fontId="20" fillId="38" borderId="13" xfId="0" applyNumberFormat="1" applyFont="1" applyFill="1" applyBorder="1" applyAlignment="1" applyProtection="1">
      <alignment horizontal="center" vertical="center" wrapText="1"/>
    </xf>
    <xf numFmtId="49" fontId="20" fillId="33" borderId="13" xfId="0" applyNumberFormat="1" applyFont="1" applyFill="1" applyBorder="1" applyAlignment="1" applyProtection="1">
      <alignment horizontal="center" vertical="center" wrapText="1"/>
    </xf>
    <xf numFmtId="0" fontId="27" fillId="27" borderId="12" xfId="0" applyFont="1" applyFill="1" applyBorder="1" applyAlignment="1" applyProtection="1">
      <alignment horizontal="center" vertical="center"/>
    </xf>
    <xf numFmtId="0" fontId="20" fillId="37" borderId="10" xfId="0" applyFont="1" applyFill="1" applyBorder="1" applyAlignment="1" applyProtection="1">
      <alignment horizontal="center"/>
    </xf>
    <xf numFmtId="0" fontId="20" fillId="31" borderId="10" xfId="0" applyFont="1" applyFill="1" applyBorder="1" applyAlignment="1" applyProtection="1">
      <alignment horizontal="center"/>
    </xf>
    <xf numFmtId="14" fontId="20" fillId="33" borderId="10" xfId="0" applyNumberFormat="1" applyFont="1" applyFill="1" applyBorder="1" applyAlignment="1" applyProtection="1">
      <alignment horizontal="center"/>
    </xf>
    <xf numFmtId="0" fontId="21" fillId="33" borderId="13" xfId="0" applyFont="1" applyFill="1" applyBorder="1" applyAlignment="1" applyProtection="1">
      <alignment horizontal="right"/>
    </xf>
    <xf numFmtId="8" fontId="0" fillId="0" borderId="0" xfId="0" applyNumberFormat="1" applyAlignment="1">
      <alignment horizontal="center" vertical="center"/>
    </xf>
    <xf numFmtId="8" fontId="39" fillId="0" borderId="0" xfId="0" applyNumberFormat="1" applyFont="1" applyAlignment="1">
      <alignment horizontal="center" vertical="center"/>
    </xf>
    <xf numFmtId="0" fontId="20" fillId="37" borderId="10" xfId="0" applyFont="1" applyFill="1" applyBorder="1" applyAlignment="1" applyProtection="1">
      <alignment horizontal="center"/>
      <protection locked="0"/>
    </xf>
    <xf numFmtId="0" fontId="20" fillId="31" borderId="10" xfId="0" applyFont="1" applyFill="1" applyBorder="1" applyAlignment="1" applyProtection="1">
      <alignment horizontal="center"/>
      <protection locked="0"/>
    </xf>
    <xf numFmtId="0" fontId="27" fillId="27" borderId="12" xfId="0" applyFont="1" applyFill="1" applyBorder="1" applyAlignment="1" applyProtection="1">
      <alignment horizontal="center" vertical="center"/>
    </xf>
    <xf numFmtId="0" fontId="20" fillId="31" borderId="13" xfId="0" applyFont="1" applyFill="1" applyBorder="1" applyAlignment="1" applyProtection="1">
      <alignment horizontal="left" vertical="center" wrapText="1"/>
    </xf>
    <xf numFmtId="0" fontId="20" fillId="31" borderId="14" xfId="0" applyFont="1" applyFill="1" applyBorder="1" applyAlignment="1" applyProtection="1">
      <alignment horizontal="left" vertical="center" wrapText="1"/>
    </xf>
    <xf numFmtId="0" fontId="20" fillId="31" borderId="12" xfId="0" applyFont="1" applyFill="1" applyBorder="1" applyAlignment="1" applyProtection="1">
      <alignment horizontal="left" vertical="center" wrapText="1"/>
    </xf>
    <xf numFmtId="0" fontId="20" fillId="38" borderId="10" xfId="0" applyFont="1" applyFill="1" applyBorder="1" applyAlignment="1" applyProtection="1">
      <alignment horizontal="left"/>
    </xf>
    <xf numFmtId="0" fontId="20" fillId="32" borderId="10" xfId="0" applyFont="1" applyFill="1" applyBorder="1" applyAlignment="1" applyProtection="1">
      <alignment horizontal="right"/>
      <protection locked="0"/>
    </xf>
    <xf numFmtId="0" fontId="27" fillId="27" borderId="15" xfId="0" applyFont="1" applyFill="1" applyBorder="1" applyAlignment="1" applyProtection="1">
      <alignment horizontal="left"/>
    </xf>
    <xf numFmtId="0" fontId="20" fillId="32" borderId="10" xfId="0" applyFont="1" applyFill="1" applyBorder="1" applyAlignment="1" applyProtection="1">
      <alignment horizontal="left" vertical="center"/>
      <protection locked="0"/>
    </xf>
    <xf numFmtId="0" fontId="20" fillId="33" borderId="13" xfId="0" applyFont="1" applyFill="1" applyBorder="1" applyAlignment="1" applyProtection="1">
      <alignment horizontal="left" vertical="center" wrapText="1"/>
    </xf>
    <xf numFmtId="0" fontId="20" fillId="33" borderId="14" xfId="0" applyFont="1" applyFill="1" applyBorder="1" applyAlignment="1" applyProtection="1">
      <alignment horizontal="left" vertical="center" wrapText="1"/>
    </xf>
    <xf numFmtId="0" fontId="20" fillId="33" borderId="12" xfId="0" applyFont="1" applyFill="1" applyBorder="1" applyAlignment="1" applyProtection="1">
      <alignment horizontal="left" vertical="center" wrapText="1"/>
    </xf>
    <xf numFmtId="0" fontId="20" fillId="31" borderId="10" xfId="0" applyFont="1" applyFill="1" applyBorder="1" applyAlignment="1" applyProtection="1">
      <alignment horizontal="center"/>
    </xf>
    <xf numFmtId="0" fontId="20" fillId="37" borderId="10" xfId="0" applyFont="1" applyFill="1" applyBorder="1" applyAlignment="1" applyProtection="1">
      <alignment horizontal="center"/>
    </xf>
    <xf numFmtId="0" fontId="20" fillId="37" borderId="10" xfId="0" applyFont="1" applyFill="1" applyBorder="1" applyAlignment="1" applyProtection="1">
      <alignment horizontal="left"/>
    </xf>
    <xf numFmtId="0" fontId="20" fillId="31" borderId="10" xfId="0" applyFont="1" applyFill="1" applyBorder="1" applyAlignment="1" applyProtection="1">
      <alignment horizontal="left"/>
    </xf>
    <xf numFmtId="39" fontId="20" fillId="37" borderId="10" xfId="0" applyNumberFormat="1" applyFont="1" applyFill="1" applyBorder="1" applyAlignment="1" applyProtection="1">
      <alignment horizontal="left" vertical="center" wrapText="1"/>
    </xf>
    <xf numFmtId="39" fontId="20" fillId="34" borderId="10" xfId="0" applyNumberFormat="1" applyFont="1" applyFill="1" applyBorder="1" applyAlignment="1" applyProtection="1">
      <alignment horizontal="left" vertical="center" wrapText="1"/>
      <protection locked="0"/>
    </xf>
    <xf numFmtId="0" fontId="21" fillId="32" borderId="13" xfId="0" applyFont="1" applyFill="1" applyBorder="1" applyAlignment="1" applyProtection="1">
      <alignment horizontal="left"/>
      <protection locked="0"/>
    </xf>
    <xf numFmtId="0" fontId="21" fillId="32" borderId="14" xfId="0" applyFont="1" applyFill="1" applyBorder="1" applyAlignment="1" applyProtection="1">
      <alignment horizontal="left"/>
      <protection locked="0"/>
    </xf>
    <xf numFmtId="0" fontId="21" fillId="32" borderId="12" xfId="0" applyFont="1" applyFill="1" applyBorder="1" applyAlignment="1" applyProtection="1">
      <alignment horizontal="left"/>
      <protection locked="0"/>
    </xf>
    <xf numFmtId="0" fontId="29" fillId="25" borderId="0" xfId="0" applyFont="1" applyFill="1" applyBorder="1" applyAlignment="1" applyProtection="1">
      <alignment horizontal="center"/>
    </xf>
    <xf numFmtId="0" fontId="27" fillId="27" borderId="13" xfId="0" applyFont="1" applyFill="1" applyBorder="1" applyAlignment="1" applyProtection="1">
      <alignment horizontal="center" vertical="center"/>
    </xf>
    <xf numFmtId="0" fontId="27" fillId="27" borderId="12" xfId="0" applyFont="1" applyFill="1" applyBorder="1" applyAlignment="1" applyProtection="1">
      <alignment horizontal="center" vertical="center"/>
    </xf>
    <xf numFmtId="0" fontId="20" fillId="33" borderId="13" xfId="0" applyFont="1" applyFill="1" applyBorder="1" applyAlignment="1" applyProtection="1">
      <alignment horizontal="center" vertical="center" wrapText="1"/>
    </xf>
    <xf numFmtId="0" fontId="20" fillId="33" borderId="12" xfId="0" applyFont="1" applyFill="1" applyBorder="1" applyAlignment="1" applyProtection="1">
      <alignment horizontal="center" vertical="center" wrapText="1"/>
    </xf>
    <xf numFmtId="0" fontId="20" fillId="38" borderId="13" xfId="0" applyFont="1" applyFill="1" applyBorder="1" applyAlignment="1" applyProtection="1">
      <alignment horizontal="center" vertical="center" wrapText="1"/>
    </xf>
    <xf numFmtId="0" fontId="20" fillId="38" borderId="12" xfId="0" applyFont="1" applyFill="1" applyBorder="1" applyAlignment="1" applyProtection="1">
      <alignment horizontal="center" vertical="center" wrapText="1"/>
    </xf>
    <xf numFmtId="0" fontId="20" fillId="32" borderId="10" xfId="0" applyFont="1" applyFill="1" applyBorder="1" applyAlignment="1" applyProtection="1">
      <alignment horizontal="center"/>
      <protection locked="0"/>
    </xf>
    <xf numFmtId="49" fontId="20" fillId="32" borderId="13" xfId="0" applyNumberFormat="1" applyFont="1" applyFill="1" applyBorder="1" applyAlignment="1" applyProtection="1">
      <alignment horizontal="center"/>
      <protection locked="0"/>
    </xf>
    <xf numFmtId="49" fontId="20" fillId="32" borderId="12" xfId="0" applyNumberFormat="1" applyFont="1" applyFill="1" applyBorder="1" applyAlignment="1" applyProtection="1">
      <alignment horizontal="center"/>
      <protection locked="0"/>
    </xf>
    <xf numFmtId="0" fontId="20" fillId="33" borderId="10" xfId="0" applyFont="1" applyFill="1" applyBorder="1" applyAlignment="1" applyProtection="1">
      <alignment horizontal="left"/>
    </xf>
    <xf numFmtId="0" fontId="20" fillId="25" borderId="0" xfId="0" applyFont="1" applyFill="1" applyAlignment="1" applyProtection="1">
      <alignment horizontal="justify" vertical="center" wrapText="1"/>
    </xf>
    <xf numFmtId="0" fontId="20" fillId="37" borderId="13" xfId="0" applyFont="1" applyFill="1" applyBorder="1" applyAlignment="1" applyProtection="1">
      <alignment horizontal="left" vertical="center" wrapText="1"/>
    </xf>
    <xf numFmtId="0" fontId="20" fillId="37" borderId="14" xfId="0" applyFont="1" applyFill="1" applyBorder="1" applyAlignment="1" applyProtection="1">
      <alignment horizontal="left" vertical="center" wrapText="1"/>
    </xf>
    <xf numFmtId="0" fontId="20" fillId="37" borderId="12" xfId="0" applyFont="1" applyFill="1" applyBorder="1" applyAlignment="1" applyProtection="1">
      <alignment horizontal="left" vertical="center" wrapText="1"/>
    </xf>
    <xf numFmtId="0" fontId="20" fillId="31" borderId="17" xfId="0" applyFont="1" applyFill="1" applyBorder="1" applyAlignment="1" applyProtection="1">
      <alignment horizontal="left" vertical="center" wrapText="1"/>
      <protection locked="0"/>
    </xf>
    <xf numFmtId="0" fontId="20" fillId="31" borderId="18" xfId="0" applyFont="1" applyFill="1" applyBorder="1" applyAlignment="1" applyProtection="1">
      <alignment horizontal="left" vertical="center" wrapText="1"/>
      <protection locked="0"/>
    </xf>
    <xf numFmtId="0" fontId="20" fillId="31" borderId="19" xfId="0" applyFont="1" applyFill="1" applyBorder="1" applyAlignment="1" applyProtection="1">
      <alignment horizontal="left" vertical="center" wrapText="1"/>
      <protection locked="0"/>
    </xf>
    <xf numFmtId="0" fontId="33" fillId="25" borderId="0" xfId="0" applyFont="1" applyFill="1" applyBorder="1" applyAlignment="1" applyProtection="1">
      <alignment horizontal="left" wrapText="1"/>
    </xf>
    <xf numFmtId="4" fontId="20" fillId="35" borderId="13" xfId="0" applyNumberFormat="1" applyFont="1" applyFill="1" applyBorder="1" applyAlignment="1" applyProtection="1">
      <alignment horizontal="left" vertical="center" wrapText="1"/>
      <protection locked="0"/>
    </xf>
    <xf numFmtId="4" fontId="20" fillId="35" borderId="14" xfId="0" applyNumberFormat="1" applyFont="1" applyFill="1" applyBorder="1" applyAlignment="1" applyProtection="1">
      <alignment horizontal="left" vertical="center" wrapText="1"/>
      <protection locked="0"/>
    </xf>
    <xf numFmtId="4" fontId="20" fillId="35" borderId="12" xfId="0" applyNumberFormat="1" applyFont="1" applyFill="1" applyBorder="1" applyAlignment="1" applyProtection="1">
      <alignment horizontal="left" vertical="center" wrapText="1"/>
      <protection locked="0"/>
    </xf>
    <xf numFmtId="0" fontId="27" fillId="27" borderId="13" xfId="0" applyFont="1" applyFill="1" applyBorder="1" applyAlignment="1" applyProtection="1">
      <alignment horizontal="left" vertical="center"/>
    </xf>
    <xf numFmtId="0" fontId="27" fillId="27" borderId="14" xfId="0" applyFont="1" applyFill="1" applyBorder="1" applyAlignment="1" applyProtection="1">
      <alignment horizontal="left" vertical="center"/>
    </xf>
    <xf numFmtId="0" fontId="27" fillId="27" borderId="12" xfId="0" applyFont="1" applyFill="1" applyBorder="1" applyAlignment="1" applyProtection="1">
      <alignment horizontal="left" vertical="center"/>
    </xf>
    <xf numFmtId="0" fontId="27" fillId="29" borderId="11" xfId="0" applyFont="1" applyFill="1" applyBorder="1" applyAlignment="1" applyProtection="1">
      <alignment horizontal="left" vertical="center" wrapText="1"/>
    </xf>
    <xf numFmtId="0" fontId="20" fillId="37" borderId="11" xfId="0" applyFont="1" applyFill="1" applyBorder="1" applyAlignment="1" applyProtection="1">
      <alignment horizontal="left" vertical="center" wrapText="1"/>
    </xf>
    <xf numFmtId="0" fontId="20" fillId="31" borderId="11" xfId="0" applyFont="1" applyFill="1" applyBorder="1" applyAlignment="1" applyProtection="1">
      <alignment horizontal="left" vertical="center" wrapText="1"/>
    </xf>
    <xf numFmtId="0" fontId="20" fillId="37" borderId="10" xfId="0" applyFont="1" applyFill="1" applyBorder="1" applyAlignment="1" applyProtection="1">
      <alignment horizontal="left"/>
      <protection locked="0"/>
    </xf>
    <xf numFmtId="0" fontId="27" fillId="27" borderId="13" xfId="0" applyFont="1" applyFill="1" applyBorder="1" applyAlignment="1" applyProtection="1">
      <alignment horizontal="left" vertical="center" wrapText="1"/>
    </xf>
    <xf numFmtId="0" fontId="27" fillId="27" borderId="14" xfId="0" applyFont="1" applyFill="1" applyBorder="1" applyAlignment="1" applyProtection="1">
      <alignment horizontal="left" vertical="center" wrapText="1"/>
    </xf>
    <xf numFmtId="0" fontId="27" fillId="27" borderId="12" xfId="0" applyFont="1" applyFill="1" applyBorder="1" applyAlignment="1" applyProtection="1">
      <alignment horizontal="left" vertical="center" wrapText="1"/>
    </xf>
    <xf numFmtId="0" fontId="20" fillId="31" borderId="10" xfId="0" applyFont="1" applyFill="1" applyBorder="1" applyAlignment="1" applyProtection="1">
      <alignment horizontal="left"/>
      <protection locked="0"/>
    </xf>
    <xf numFmtId="0" fontId="27" fillId="27" borderId="10" xfId="0" applyFont="1" applyFill="1" applyBorder="1" applyAlignment="1" applyProtection="1">
      <alignment horizontal="left" vertical="center"/>
    </xf>
    <xf numFmtId="0" fontId="27" fillId="29" borderId="10" xfId="0" applyFont="1" applyFill="1" applyBorder="1" applyAlignment="1" applyProtection="1">
      <alignment horizontal="left" vertical="center" wrapText="1"/>
    </xf>
    <xf numFmtId="0" fontId="27" fillId="29" borderId="13" xfId="0" applyFont="1" applyFill="1" applyBorder="1" applyAlignment="1" applyProtection="1">
      <alignment horizontal="left" vertical="center" wrapText="1"/>
    </xf>
    <xf numFmtId="0" fontId="27" fillId="29" borderId="12" xfId="0" applyFont="1" applyFill="1" applyBorder="1" applyAlignment="1" applyProtection="1">
      <alignment horizontal="left" vertical="center" wrapText="1"/>
    </xf>
    <xf numFmtId="0" fontId="20" fillId="31" borderId="13" xfId="0" applyFont="1" applyFill="1" applyBorder="1" applyAlignment="1" applyProtection="1">
      <alignment horizontal="left" vertical="center"/>
    </xf>
    <xf numFmtId="0" fontId="20" fillId="31" borderId="14" xfId="0" applyFont="1" applyFill="1" applyBorder="1" applyAlignment="1" applyProtection="1">
      <alignment horizontal="left" vertical="center"/>
    </xf>
    <xf numFmtId="0" fontId="20" fillId="31" borderId="12" xfId="0" applyFont="1" applyFill="1" applyBorder="1" applyAlignment="1" applyProtection="1">
      <alignment horizontal="left" vertical="center"/>
    </xf>
    <xf numFmtId="0" fontId="20" fillId="37" borderId="10" xfId="0" applyFont="1" applyFill="1" applyBorder="1" applyAlignment="1" applyProtection="1">
      <alignment horizontal="left" vertical="center" wrapText="1"/>
    </xf>
    <xf numFmtId="0" fontId="20" fillId="31" borderId="10" xfId="0" applyFont="1" applyFill="1" applyBorder="1" applyAlignment="1" applyProtection="1">
      <alignment horizontal="left" vertical="center" wrapText="1"/>
    </xf>
    <xf numFmtId="0" fontId="33" fillId="25" borderId="30" xfId="0" applyFont="1" applyFill="1" applyBorder="1" applyAlignment="1" applyProtection="1">
      <alignment horizontal="left" vertical="center" wrapText="1"/>
    </xf>
    <xf numFmtId="0" fontId="20" fillId="37" borderId="10" xfId="0" applyFont="1" applyFill="1" applyBorder="1" applyAlignment="1" applyProtection="1">
      <alignment horizontal="justify" vertical="center"/>
    </xf>
    <xf numFmtId="0" fontId="27" fillId="27" borderId="10" xfId="0" applyFont="1" applyFill="1" applyBorder="1" applyAlignment="1" applyProtection="1">
      <alignment horizontal="left" vertical="center" wrapText="1"/>
    </xf>
    <xf numFmtId="0" fontId="20" fillId="31" borderId="10" xfId="0" applyFont="1" applyFill="1" applyBorder="1" applyAlignment="1" applyProtection="1">
      <alignment horizontal="justify" vertical="center"/>
    </xf>
    <xf numFmtId="0" fontId="27" fillId="27" borderId="10" xfId="0" applyFont="1" applyFill="1" applyBorder="1" applyAlignment="1" applyProtection="1">
      <alignment horizontal="justify" vertical="center" wrapText="1"/>
    </xf>
    <xf numFmtId="0" fontId="27" fillId="36" borderId="11" xfId="0" applyFont="1" applyFill="1" applyBorder="1" applyAlignment="1" applyProtection="1">
      <alignment horizontal="left" vertical="center" wrapText="1"/>
    </xf>
    <xf numFmtId="0" fontId="26" fillId="31" borderId="10" xfId="0" applyFont="1" applyFill="1" applyBorder="1" applyAlignment="1" applyProtection="1">
      <alignment horizontal="left" vertical="center" wrapText="1" indent="1"/>
    </xf>
    <xf numFmtId="0" fontId="26" fillId="37" borderId="10" xfId="0" applyFont="1" applyFill="1" applyBorder="1" applyAlignment="1" applyProtection="1">
      <alignment horizontal="left" vertical="center" wrapText="1" indent="1"/>
    </xf>
    <xf numFmtId="4" fontId="20" fillId="31" borderId="10" xfId="0" applyNumberFormat="1" applyFont="1" applyFill="1" applyBorder="1" applyAlignment="1" applyProtection="1">
      <alignment horizontal="left" vertical="center" wrapText="1"/>
    </xf>
    <xf numFmtId="4" fontId="20" fillId="31" borderId="11" xfId="0" applyNumberFormat="1" applyFont="1" applyFill="1" applyBorder="1" applyAlignment="1" applyProtection="1">
      <alignment horizontal="left" vertical="center" wrapText="1"/>
    </xf>
    <xf numFmtId="39" fontId="20" fillId="37" borderId="13" xfId="0" applyNumberFormat="1" applyFont="1" applyFill="1" applyBorder="1" applyAlignment="1" applyProtection="1">
      <alignment horizontal="left" vertical="center" wrapText="1"/>
    </xf>
    <xf numFmtId="39" fontId="20" fillId="37" borderId="14" xfId="0" applyNumberFormat="1" applyFont="1" applyFill="1" applyBorder="1" applyAlignment="1" applyProtection="1">
      <alignment horizontal="left" vertical="center" wrapText="1"/>
    </xf>
    <xf numFmtId="39" fontId="20" fillId="37" borderId="12" xfId="0" applyNumberFormat="1" applyFont="1" applyFill="1" applyBorder="1" applyAlignment="1" applyProtection="1">
      <alignment horizontal="left" vertical="center" wrapText="1"/>
    </xf>
    <xf numFmtId="0" fontId="21" fillId="38" borderId="13" xfId="0" applyFont="1" applyFill="1" applyBorder="1" applyAlignment="1" applyProtection="1">
      <alignment horizontal="left"/>
    </xf>
    <xf numFmtId="0" fontId="21" fillId="38" borderId="14" xfId="0" applyFont="1" applyFill="1" applyBorder="1" applyAlignment="1" applyProtection="1">
      <alignment horizontal="left"/>
    </xf>
    <xf numFmtId="0" fontId="21" fillId="38" borderId="12" xfId="0" applyFont="1" applyFill="1" applyBorder="1" applyAlignment="1" applyProtection="1">
      <alignment horizontal="left"/>
    </xf>
    <xf numFmtId="0" fontId="21" fillId="33" borderId="13" xfId="0" applyFont="1" applyFill="1" applyBorder="1" applyAlignment="1" applyProtection="1">
      <alignment horizontal="left"/>
    </xf>
    <xf numFmtId="0" fontId="21" fillId="33" borderId="14" xfId="0" applyFont="1" applyFill="1" applyBorder="1" applyAlignment="1" applyProtection="1">
      <alignment horizontal="left"/>
    </xf>
    <xf numFmtId="0" fontId="21" fillId="33" borderId="12" xfId="0" applyFont="1" applyFill="1" applyBorder="1" applyAlignment="1" applyProtection="1">
      <alignment horizontal="left"/>
    </xf>
    <xf numFmtId="0" fontId="20" fillId="38" borderId="10" xfId="0" applyFont="1" applyFill="1" applyBorder="1" applyAlignment="1" applyProtection="1">
      <alignment horizontal="center"/>
    </xf>
    <xf numFmtId="0" fontId="20" fillId="33" borderId="10" xfId="0" applyFont="1" applyFill="1" applyBorder="1" applyAlignment="1" applyProtection="1">
      <alignment horizontal="right"/>
    </xf>
    <xf numFmtId="0" fontId="35" fillId="0" borderId="0" xfId="0" applyFont="1" applyBorder="1" applyAlignment="1" applyProtection="1">
      <alignment horizontal="center"/>
    </xf>
    <xf numFmtId="0" fontId="36" fillId="25" borderId="16" xfId="0" applyFont="1" applyFill="1" applyBorder="1" applyAlignment="1" applyProtection="1">
      <alignment horizontal="center" vertical="center"/>
    </xf>
    <xf numFmtId="0" fontId="27" fillId="29" borderId="14" xfId="0" applyFont="1" applyFill="1" applyBorder="1" applyAlignment="1" applyProtection="1">
      <alignment horizontal="left" vertical="center" wrapText="1"/>
    </xf>
    <xf numFmtId="0" fontId="33" fillId="25" borderId="14" xfId="0" applyFont="1" applyFill="1" applyBorder="1" applyAlignment="1" applyProtection="1">
      <alignment horizontal="justify" vertical="center" wrapText="1"/>
    </xf>
    <xf numFmtId="0" fontId="27" fillId="27" borderId="13" xfId="0" applyFont="1" applyFill="1" applyBorder="1" applyAlignment="1" applyProtection="1">
      <alignment horizontal="justify" vertical="center" wrapText="1"/>
    </xf>
    <xf numFmtId="0" fontId="27" fillId="27" borderId="12" xfId="0" applyFont="1" applyFill="1" applyBorder="1" applyAlignment="1" applyProtection="1">
      <alignment horizontal="justify" vertical="center" wrapText="1"/>
    </xf>
    <xf numFmtId="39" fontId="20" fillId="31" borderId="13" xfId="0" applyNumberFormat="1" applyFont="1" applyFill="1" applyBorder="1" applyAlignment="1" applyProtection="1">
      <alignment horizontal="left" vertical="center" wrapText="1"/>
    </xf>
    <xf numFmtId="39" fontId="20" fillId="31" borderId="14" xfId="0" applyNumberFormat="1" applyFont="1" applyFill="1" applyBorder="1" applyAlignment="1" applyProtection="1">
      <alignment horizontal="left" vertical="center" wrapText="1"/>
    </xf>
    <xf numFmtId="39" fontId="20" fillId="31" borderId="12" xfId="0" applyNumberFormat="1" applyFont="1" applyFill="1" applyBorder="1" applyAlignment="1" applyProtection="1">
      <alignment horizontal="left" vertical="center" wrapText="1"/>
    </xf>
    <xf numFmtId="0" fontId="20" fillId="33" borderId="10" xfId="0" applyFont="1" applyFill="1" applyBorder="1" applyAlignment="1" applyProtection="1">
      <alignment horizontal="left" vertical="center"/>
    </xf>
    <xf numFmtId="0" fontId="20" fillId="38" borderId="10" xfId="0" applyFont="1" applyFill="1" applyBorder="1" applyAlignment="1" applyProtection="1">
      <alignment horizontal="left" vertical="center"/>
    </xf>
    <xf numFmtId="0" fontId="20" fillId="37" borderId="10" xfId="0" applyFont="1" applyFill="1" applyBorder="1" applyAlignment="1" applyProtection="1">
      <alignment horizontal="left" wrapText="1"/>
    </xf>
    <xf numFmtId="0" fontId="27" fillId="36" borderId="10" xfId="0" applyFont="1" applyFill="1" applyBorder="1" applyAlignment="1" applyProtection="1">
      <alignment horizontal="left" vertical="center" wrapText="1"/>
    </xf>
    <xf numFmtId="0" fontId="33" fillId="25" borderId="0" xfId="0" applyFont="1" applyFill="1" applyBorder="1" applyAlignment="1" applyProtection="1">
      <alignment horizontal="justify" vertical="center" wrapText="1"/>
    </xf>
    <xf numFmtId="0" fontId="27" fillId="28" borderId="13" xfId="0" applyFont="1" applyFill="1" applyBorder="1" applyAlignment="1" applyProtection="1">
      <alignment horizontal="center" vertical="center"/>
    </xf>
    <xf numFmtId="0" fontId="27" fillId="28" borderId="12" xfId="0" applyFont="1" applyFill="1" applyBorder="1" applyAlignment="1" applyProtection="1">
      <alignment horizontal="center" vertical="center"/>
    </xf>
    <xf numFmtId="0" fontId="34" fillId="25" borderId="16" xfId="0" applyFont="1" applyFill="1" applyBorder="1" applyAlignment="1" applyProtection="1">
      <alignment horizontal="center" vertical="center"/>
    </xf>
    <xf numFmtId="0" fontId="38" fillId="30" borderId="13" xfId="0" applyFont="1" applyFill="1" applyBorder="1" applyAlignment="1" applyProtection="1">
      <alignment horizontal="left" vertical="center" wrapText="1"/>
    </xf>
    <xf numFmtId="0" fontId="38" fillId="30" borderId="12" xfId="0" applyFont="1" applyFill="1" applyBorder="1" applyAlignment="1" applyProtection="1">
      <alignment horizontal="left" vertical="center" wrapText="1"/>
    </xf>
    <xf numFmtId="0" fontId="20" fillId="31" borderId="13" xfId="0" applyFont="1" applyFill="1" applyBorder="1" applyAlignment="1" applyProtection="1">
      <alignment horizontal="justify" vertical="center" wrapText="1"/>
    </xf>
    <xf numFmtId="0" fontId="20" fillId="31" borderId="12" xfId="0" applyFont="1" applyFill="1" applyBorder="1" applyAlignment="1" applyProtection="1">
      <alignment horizontal="justify" vertical="center" wrapText="1"/>
    </xf>
    <xf numFmtId="0" fontId="20" fillId="30" borderId="13" xfId="0" applyFont="1" applyFill="1" applyBorder="1" applyAlignment="1" applyProtection="1">
      <alignment horizontal="left" vertical="center" wrapText="1"/>
    </xf>
    <xf numFmtId="0" fontId="20" fillId="30" borderId="12" xfId="0" applyFont="1" applyFill="1" applyBorder="1" applyAlignment="1" applyProtection="1">
      <alignment horizontal="left" vertical="center" wrapText="1"/>
    </xf>
    <xf numFmtId="0" fontId="20" fillId="37" borderId="13" xfId="0" applyFont="1" applyFill="1" applyBorder="1" applyAlignment="1" applyProtection="1">
      <alignment horizontal="justify" vertical="center" wrapText="1"/>
    </xf>
    <xf numFmtId="0" fontId="20" fillId="37" borderId="12" xfId="0" applyFont="1" applyFill="1" applyBorder="1" applyAlignment="1" applyProtection="1">
      <alignment horizontal="justify" vertical="center" wrapText="1"/>
    </xf>
    <xf numFmtId="0" fontId="27" fillId="27" borderId="13" xfId="0" applyFont="1" applyFill="1" applyBorder="1" applyAlignment="1">
      <alignment horizontal="center" vertical="center" wrapText="1"/>
    </xf>
    <xf numFmtId="0" fontId="27" fillId="27" borderId="12" xfId="0" applyFont="1" applyFill="1" applyBorder="1" applyAlignment="1">
      <alignment horizontal="center" vertical="center" wrapText="1"/>
    </xf>
    <xf numFmtId="0" fontId="27" fillId="28" borderId="21" xfId="0" applyFont="1" applyFill="1" applyBorder="1" applyAlignment="1" applyProtection="1">
      <alignment horizontal="center" vertical="center"/>
    </xf>
    <xf numFmtId="0" fontId="27" fillId="28" borderId="20" xfId="0" applyFont="1" applyFill="1" applyBorder="1" applyAlignment="1" applyProtection="1">
      <alignment horizontal="center" vertical="center"/>
    </xf>
    <xf numFmtId="0" fontId="27" fillId="28" borderId="22" xfId="0" applyFont="1" applyFill="1" applyBorder="1" applyAlignment="1" applyProtection="1">
      <alignment horizontal="center" vertical="center"/>
    </xf>
    <xf numFmtId="0" fontId="27" fillId="28" borderId="21" xfId="0" applyFont="1" applyFill="1" applyBorder="1" applyAlignment="1" applyProtection="1">
      <alignment horizontal="center" vertical="center" wrapText="1"/>
    </xf>
    <xf numFmtId="0" fontId="27" fillId="28" borderId="23" xfId="0" applyFont="1" applyFill="1" applyBorder="1" applyAlignment="1" applyProtection="1">
      <alignment horizontal="center" vertical="center" wrapText="1"/>
    </xf>
    <xf numFmtId="0" fontId="27" fillId="28" borderId="24" xfId="0" applyFont="1" applyFill="1" applyBorder="1" applyAlignment="1" applyProtection="1">
      <alignment horizontal="center" vertical="center" wrapText="1"/>
    </xf>
    <xf numFmtId="0" fontId="27" fillId="28" borderId="25" xfId="0" applyFont="1" applyFill="1" applyBorder="1" applyAlignment="1" applyProtection="1">
      <alignment horizontal="center" vertical="center" wrapText="1"/>
    </xf>
    <xf numFmtId="0" fontId="27" fillId="28" borderId="26" xfId="0" applyFont="1" applyFill="1" applyBorder="1" applyAlignment="1" applyProtection="1">
      <alignment horizontal="center" vertical="center" wrapText="1"/>
    </xf>
    <xf numFmtId="0" fontId="27" fillId="28" borderId="27" xfId="0" applyFont="1" applyFill="1" applyBorder="1" applyAlignment="1" applyProtection="1">
      <alignment horizontal="center" vertical="center" wrapText="1"/>
    </xf>
    <xf numFmtId="0" fontId="27" fillId="28" borderId="28" xfId="0" applyFont="1" applyFill="1" applyBorder="1" applyAlignment="1" applyProtection="1">
      <alignment horizontal="center" vertical="center" wrapText="1"/>
    </xf>
    <xf numFmtId="0" fontId="27" fillId="28" borderId="29" xfId="0" applyFont="1" applyFill="1" applyBorder="1" applyAlignment="1" applyProtection="1">
      <alignment horizontal="center" vertical="center" wrapText="1"/>
    </xf>
    <xf numFmtId="0" fontId="27" fillId="28" borderId="15" xfId="0" applyFont="1" applyFill="1" applyBorder="1" applyAlignment="1" applyProtection="1">
      <alignment horizontal="center" vertical="center" wrapText="1"/>
    </xf>
    <xf numFmtId="0" fontId="27" fillId="27" borderId="13" xfId="0" applyFont="1" applyFill="1" applyBorder="1" applyAlignment="1">
      <alignment horizontal="center" vertical="center"/>
    </xf>
    <xf numFmtId="0" fontId="27" fillId="27" borderId="12" xfId="0" applyFont="1" applyFill="1" applyBorder="1" applyAlignment="1">
      <alignment horizontal="center" vertic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topLeftCell="A58" workbookViewId="0">
      <selection activeCell="H9" sqref="H9"/>
    </sheetView>
  </sheetViews>
  <sheetFormatPr defaultColWidth="9.140625" defaultRowHeight="16.5" x14ac:dyDescent="0.3"/>
  <cols>
    <col min="1" max="1" width="2.7109375" style="17" customWidth="1"/>
    <col min="2" max="2" width="8.85546875" style="17" customWidth="1"/>
    <col min="3" max="3" width="52.5703125" style="23" customWidth="1"/>
    <col min="4" max="4" width="7.85546875" style="23" customWidth="1"/>
    <col min="5" max="5" width="13.5703125" style="23" customWidth="1"/>
    <col min="6" max="6" width="15.42578125" style="23" bestFit="1" customWidth="1"/>
    <col min="7" max="16384" width="9.140625" style="17"/>
  </cols>
  <sheetData>
    <row r="1" spans="1:6" ht="20.25" x14ac:dyDescent="0.35">
      <c r="B1" s="159" t="s">
        <v>245</v>
      </c>
      <c r="C1" s="160"/>
      <c r="D1" s="160"/>
      <c r="E1" s="160"/>
      <c r="F1" s="161"/>
    </row>
    <row r="2" spans="1:6" ht="20.25" x14ac:dyDescent="0.35">
      <c r="B2" s="159" t="s">
        <v>246</v>
      </c>
      <c r="C2" s="160"/>
      <c r="D2" s="161"/>
      <c r="E2" s="137" t="s">
        <v>58</v>
      </c>
      <c r="F2" s="93" t="s">
        <v>199</v>
      </c>
    </row>
    <row r="3" spans="1:6" x14ac:dyDescent="0.3">
      <c r="B3" s="99"/>
      <c r="C3" s="99"/>
      <c r="D3" s="99"/>
      <c r="E3" s="99"/>
      <c r="F3" s="99"/>
    </row>
    <row r="4" spans="1:6" s="99" customFormat="1" ht="25.5" x14ac:dyDescent="0.5">
      <c r="B4" s="162" t="s">
        <v>111</v>
      </c>
      <c r="C4" s="162"/>
      <c r="D4" s="162"/>
      <c r="E4" s="162"/>
      <c r="F4" s="162"/>
    </row>
    <row r="5" spans="1:6" s="99" customFormat="1" ht="15.95" customHeight="1" x14ac:dyDescent="0.3">
      <c r="B5" s="148" t="s">
        <v>97</v>
      </c>
      <c r="C5" s="148"/>
      <c r="D5" s="148"/>
      <c r="E5" s="148"/>
      <c r="F5" s="148"/>
    </row>
    <row r="6" spans="1:6" s="99" customFormat="1" ht="15.95" customHeight="1" x14ac:dyDescent="0.3">
      <c r="B6" s="146" t="s">
        <v>35</v>
      </c>
      <c r="C6" s="146"/>
      <c r="D6" s="169" t="s">
        <v>239</v>
      </c>
      <c r="E6" s="169"/>
      <c r="F6" s="169"/>
    </row>
    <row r="7" spans="1:6" s="99" customFormat="1" ht="15.75" customHeight="1" x14ac:dyDescent="0.3">
      <c r="B7" s="172" t="s">
        <v>36</v>
      </c>
      <c r="C7" s="172"/>
      <c r="D7" s="147" t="s">
        <v>37</v>
      </c>
      <c r="E7" s="147"/>
      <c r="F7" s="28" t="s">
        <v>200</v>
      </c>
    </row>
    <row r="8" spans="1:6" s="99" customFormat="1" ht="15.75" customHeight="1" x14ac:dyDescent="0.3">
      <c r="B8" s="146" t="s">
        <v>113</v>
      </c>
      <c r="C8" s="146"/>
      <c r="D8" s="170" t="s">
        <v>199</v>
      </c>
      <c r="E8" s="171"/>
      <c r="F8" s="28" t="s">
        <v>201</v>
      </c>
    </row>
    <row r="9" spans="1:6" s="100" customFormat="1" ht="9.75" customHeight="1" x14ac:dyDescent="0.3">
      <c r="C9" s="15"/>
      <c r="D9" s="101"/>
      <c r="E9" s="101"/>
      <c r="F9" s="102"/>
    </row>
    <row r="10" spans="1:6" s="100" customFormat="1" ht="15.75" customHeight="1" x14ac:dyDescent="0.3">
      <c r="B10" s="148" t="s">
        <v>112</v>
      </c>
      <c r="C10" s="148"/>
      <c r="D10" s="148"/>
      <c r="E10" s="148"/>
      <c r="F10" s="148"/>
    </row>
    <row r="11" spans="1:6" s="99" customFormat="1" ht="18" customHeight="1" x14ac:dyDescent="0.3">
      <c r="B11" s="29" t="s">
        <v>2</v>
      </c>
      <c r="C11" s="146" t="s">
        <v>64</v>
      </c>
      <c r="D11" s="146"/>
      <c r="E11" s="146"/>
      <c r="F11" s="30" t="s">
        <v>199</v>
      </c>
    </row>
    <row r="12" spans="1:6" s="99" customFormat="1" ht="15.95" customHeight="1" x14ac:dyDescent="0.15">
      <c r="B12" s="1" t="s">
        <v>3</v>
      </c>
      <c r="C12" s="67" t="s">
        <v>38</v>
      </c>
      <c r="D12" s="149"/>
      <c r="E12" s="149"/>
      <c r="F12" s="149"/>
    </row>
    <row r="13" spans="1:6" s="99" customFormat="1" ht="15.95" customHeight="1" x14ac:dyDescent="0.3">
      <c r="B13" s="29" t="s">
        <v>4</v>
      </c>
      <c r="C13" s="146" t="s">
        <v>181</v>
      </c>
      <c r="D13" s="146"/>
      <c r="E13" s="146"/>
      <c r="F13" s="72"/>
    </row>
    <row r="14" spans="1:6" s="99" customFormat="1" ht="18.75" customHeight="1" x14ac:dyDescent="0.3">
      <c r="B14" s="1" t="s">
        <v>5</v>
      </c>
      <c r="C14" s="150" t="s">
        <v>240</v>
      </c>
      <c r="D14" s="151"/>
      <c r="E14" s="152"/>
      <c r="F14" s="28" t="s">
        <v>241</v>
      </c>
    </row>
    <row r="15" spans="1:6" s="99" customFormat="1" ht="15.95" customHeight="1" x14ac:dyDescent="0.3">
      <c r="B15" s="1" t="s">
        <v>6</v>
      </c>
      <c r="C15" s="146" t="s">
        <v>65</v>
      </c>
      <c r="D15" s="146"/>
      <c r="E15" s="146"/>
      <c r="F15" s="103">
        <v>12</v>
      </c>
    </row>
    <row r="16" spans="1:6" s="99" customFormat="1" ht="15.95" customHeight="1" x14ac:dyDescent="0.3">
      <c r="A16" s="100"/>
      <c r="B16" s="100"/>
      <c r="C16" s="15"/>
      <c r="D16" s="101"/>
      <c r="E16" s="101"/>
      <c r="F16" s="102"/>
    </row>
    <row r="17" spans="1:6" s="99" customFormat="1" x14ac:dyDescent="0.3">
      <c r="A17" s="100"/>
      <c r="B17" s="148" t="s">
        <v>114</v>
      </c>
      <c r="C17" s="148"/>
      <c r="D17" s="148"/>
      <c r="E17" s="148"/>
      <c r="F17" s="148"/>
    </row>
    <row r="18" spans="1:6" s="104" customFormat="1" ht="33" x14ac:dyDescent="0.2">
      <c r="B18" s="97" t="s">
        <v>187</v>
      </c>
      <c r="C18" s="97" t="s">
        <v>29</v>
      </c>
      <c r="D18" s="163" t="s">
        <v>115</v>
      </c>
      <c r="E18" s="164"/>
      <c r="F18" s="66" t="s">
        <v>116</v>
      </c>
    </row>
    <row r="19" spans="1:6" s="99" customFormat="1" ht="16.5" customHeight="1" x14ac:dyDescent="0.3">
      <c r="B19" s="29">
        <v>1</v>
      </c>
      <c r="C19" s="131" t="s">
        <v>244</v>
      </c>
      <c r="D19" s="167" t="s">
        <v>186</v>
      </c>
      <c r="E19" s="168"/>
      <c r="F19" s="95">
        <v>2</v>
      </c>
    </row>
    <row r="20" spans="1:6" s="99" customFormat="1" ht="16.5" customHeight="1" x14ac:dyDescent="0.3">
      <c r="B20" s="29">
        <v>2</v>
      </c>
      <c r="C20" s="132" t="s">
        <v>237</v>
      </c>
      <c r="D20" s="165" t="s">
        <v>186</v>
      </c>
      <c r="E20" s="166"/>
      <c r="F20" s="85">
        <v>1</v>
      </c>
    </row>
    <row r="21" spans="1:6" s="100" customFormat="1" ht="16.5" customHeight="1" x14ac:dyDescent="0.3">
      <c r="A21" s="99"/>
      <c r="B21" s="29">
        <v>3</v>
      </c>
      <c r="C21" s="131"/>
      <c r="D21" s="167"/>
      <c r="E21" s="168"/>
      <c r="F21" s="95"/>
    </row>
    <row r="22" spans="1:6" s="99" customFormat="1" ht="15.95" customHeight="1" x14ac:dyDescent="0.3">
      <c r="B22" s="105"/>
      <c r="C22" s="105"/>
      <c r="D22" s="105"/>
      <c r="E22" s="105"/>
      <c r="F22" s="105"/>
    </row>
    <row r="23" spans="1:6" s="99" customFormat="1" ht="15" customHeight="1" x14ac:dyDescent="0.3">
      <c r="B23" s="148" t="s">
        <v>117</v>
      </c>
      <c r="C23" s="148"/>
      <c r="D23" s="148"/>
      <c r="E23" s="148"/>
      <c r="F23" s="148"/>
    </row>
    <row r="24" spans="1:6" s="99" customFormat="1" ht="15" customHeight="1" x14ac:dyDescent="0.3">
      <c r="B24" s="29">
        <v>1</v>
      </c>
      <c r="C24" s="155" t="s">
        <v>61</v>
      </c>
      <c r="D24" s="155"/>
      <c r="E24" s="154" t="s">
        <v>242</v>
      </c>
      <c r="F24" s="154"/>
    </row>
    <row r="25" spans="1:6" s="99" customFormat="1" ht="15" customHeight="1" x14ac:dyDescent="0.3">
      <c r="A25" s="100"/>
      <c r="B25" s="29">
        <v>2</v>
      </c>
      <c r="C25" s="31" t="s">
        <v>60</v>
      </c>
      <c r="D25" s="153"/>
      <c r="E25" s="153"/>
      <c r="F25" s="153"/>
    </row>
    <row r="26" spans="1:6" s="99" customFormat="1" ht="15.95" customHeight="1" x14ac:dyDescent="0.3">
      <c r="B26" s="29">
        <v>3</v>
      </c>
      <c r="C26" s="57" t="s">
        <v>62</v>
      </c>
      <c r="D26" s="154" t="s">
        <v>238</v>
      </c>
      <c r="E26" s="154"/>
      <c r="F26" s="154"/>
    </row>
    <row r="27" spans="1:6" s="99" customFormat="1" ht="15.95" customHeight="1" x14ac:dyDescent="0.3">
      <c r="B27" s="29">
        <v>4</v>
      </c>
      <c r="C27" s="156" t="s">
        <v>63</v>
      </c>
      <c r="D27" s="156"/>
      <c r="E27" s="156"/>
      <c r="F27" s="30">
        <v>44197</v>
      </c>
    </row>
    <row r="28" spans="1:6" s="99" customFormat="1" ht="15.95" customHeight="1" x14ac:dyDescent="0.3">
      <c r="B28" s="29">
        <v>5</v>
      </c>
      <c r="C28" s="155" t="s">
        <v>138</v>
      </c>
      <c r="D28" s="155"/>
      <c r="E28" s="155"/>
      <c r="F28" s="68"/>
    </row>
    <row r="29" spans="1:6" s="99" customFormat="1" x14ac:dyDescent="0.3">
      <c r="B29" s="32"/>
      <c r="C29" s="33"/>
      <c r="D29" s="33"/>
      <c r="E29" s="33"/>
      <c r="F29" s="106"/>
    </row>
    <row r="30" spans="1:6" s="99" customFormat="1" ht="25.5" x14ac:dyDescent="0.5">
      <c r="B30" s="107" t="s">
        <v>206</v>
      </c>
      <c r="C30" s="17"/>
      <c r="D30" s="17"/>
      <c r="E30" s="17"/>
      <c r="F30" s="17"/>
    </row>
    <row r="31" spans="1:6" x14ac:dyDescent="0.3">
      <c r="B31" s="54" t="s">
        <v>8</v>
      </c>
      <c r="E31" s="18"/>
      <c r="F31" s="18"/>
    </row>
    <row r="32" spans="1:6" x14ac:dyDescent="0.3">
      <c r="B32" s="1">
        <v>1</v>
      </c>
      <c r="C32" s="196" t="s">
        <v>9</v>
      </c>
      <c r="D32" s="196"/>
      <c r="E32" s="196"/>
      <c r="F32" s="5" t="s">
        <v>122</v>
      </c>
    </row>
    <row r="33" spans="1:6" x14ac:dyDescent="0.3">
      <c r="B33" s="1" t="s">
        <v>2</v>
      </c>
      <c r="C33" s="157" t="s">
        <v>91</v>
      </c>
      <c r="D33" s="157"/>
      <c r="E33" s="157"/>
      <c r="F33" s="86">
        <v>3044.5</v>
      </c>
    </row>
    <row r="34" spans="1:6" x14ac:dyDescent="0.3">
      <c r="B34" s="1" t="s">
        <v>3</v>
      </c>
      <c r="C34" s="143" t="s">
        <v>82</v>
      </c>
      <c r="D34" s="144"/>
      <c r="E34" s="145"/>
      <c r="F34" s="87">
        <v>30</v>
      </c>
    </row>
    <row r="35" spans="1:6" x14ac:dyDescent="0.3">
      <c r="B35" s="1" t="s">
        <v>4</v>
      </c>
      <c r="C35" s="157" t="s">
        <v>84</v>
      </c>
      <c r="D35" s="157"/>
      <c r="E35" s="157"/>
      <c r="F35" s="87">
        <v>20</v>
      </c>
    </row>
    <row r="36" spans="1:6" x14ac:dyDescent="0.3">
      <c r="B36" s="1" t="s">
        <v>5</v>
      </c>
      <c r="C36" s="143" t="s">
        <v>233</v>
      </c>
      <c r="D36" s="144"/>
      <c r="E36" s="145"/>
      <c r="F36" s="86">
        <f>(AL_1_A_SAL_BASE_12X36_DIU+AL_1_B_ADIC_PERIC_12X36_DIU)/220*1.5*12</f>
        <v>323.82</v>
      </c>
    </row>
    <row r="37" spans="1:6" x14ac:dyDescent="0.3">
      <c r="B37" s="1" t="s">
        <v>6</v>
      </c>
      <c r="C37" s="158" t="s">
        <v>197</v>
      </c>
      <c r="D37" s="158"/>
      <c r="E37" s="158"/>
      <c r="F37" s="86"/>
    </row>
    <row r="38" spans="1:6" x14ac:dyDescent="0.3">
      <c r="B38" s="1" t="s">
        <v>7</v>
      </c>
      <c r="C38" s="158" t="s">
        <v>198</v>
      </c>
      <c r="D38" s="158"/>
      <c r="E38" s="158"/>
      <c r="F38" s="86"/>
    </row>
    <row r="39" spans="1:6" s="108" customFormat="1" x14ac:dyDescent="0.3"/>
    <row r="40" spans="1:6" s="108" customFormat="1" x14ac:dyDescent="0.3">
      <c r="A40" s="17"/>
      <c r="B40" s="54" t="s">
        <v>71</v>
      </c>
      <c r="C40" s="100"/>
      <c r="D40" s="100"/>
      <c r="E40" s="100"/>
      <c r="F40" s="100"/>
    </row>
    <row r="41" spans="1:6" s="108" customFormat="1" ht="15" customHeight="1" x14ac:dyDescent="0.3">
      <c r="A41" s="17"/>
      <c r="B41" s="1" t="s">
        <v>90</v>
      </c>
      <c r="C41" s="197" t="s">
        <v>14</v>
      </c>
      <c r="D41" s="198"/>
      <c r="E41" s="5" t="s">
        <v>40</v>
      </c>
      <c r="F41" s="5" t="s">
        <v>123</v>
      </c>
    </row>
    <row r="42" spans="1:6" s="108" customFormat="1" x14ac:dyDescent="0.3">
      <c r="A42" s="17"/>
      <c r="B42" s="98" t="s">
        <v>2</v>
      </c>
      <c r="C42" s="155" t="s">
        <v>15</v>
      </c>
      <c r="D42" s="155"/>
      <c r="E42" s="112" t="s">
        <v>41</v>
      </c>
      <c r="F42" s="36">
        <v>11</v>
      </c>
    </row>
    <row r="43" spans="1:6" s="108" customFormat="1" x14ac:dyDescent="0.3">
      <c r="B43" s="98" t="s">
        <v>3</v>
      </c>
      <c r="C43" s="156" t="s">
        <v>70</v>
      </c>
      <c r="D43" s="156"/>
      <c r="E43" s="113" t="s">
        <v>41</v>
      </c>
      <c r="F43" s="36">
        <f>38-0.3</f>
        <v>37.700000000000003</v>
      </c>
    </row>
    <row r="44" spans="1:6" x14ac:dyDescent="0.3">
      <c r="B44" s="133" t="s">
        <v>4</v>
      </c>
      <c r="C44" s="190" t="s">
        <v>232</v>
      </c>
      <c r="D44" s="190"/>
      <c r="E44" s="140" t="s">
        <v>141</v>
      </c>
      <c r="F44" s="86"/>
    </row>
    <row r="45" spans="1:6" x14ac:dyDescent="0.3">
      <c r="B45" s="133" t="s">
        <v>5</v>
      </c>
      <c r="C45" s="194" t="s">
        <v>234</v>
      </c>
      <c r="D45" s="194"/>
      <c r="E45" s="141" t="s">
        <v>141</v>
      </c>
      <c r="F45" s="86"/>
    </row>
    <row r="46" spans="1:6" x14ac:dyDescent="0.3">
      <c r="B46" s="142" t="s">
        <v>6</v>
      </c>
      <c r="C46" s="190" t="s">
        <v>235</v>
      </c>
      <c r="D46" s="190"/>
      <c r="E46" s="141" t="s">
        <v>141</v>
      </c>
      <c r="F46" s="86"/>
    </row>
    <row r="47" spans="1:6" x14ac:dyDescent="0.3">
      <c r="B47" s="133" t="s">
        <v>6</v>
      </c>
      <c r="C47" s="190" t="s">
        <v>236</v>
      </c>
      <c r="D47" s="190"/>
      <c r="E47" s="141" t="s">
        <v>141</v>
      </c>
      <c r="F47" s="86"/>
    </row>
    <row r="48" spans="1:6" s="108" customFormat="1" x14ac:dyDescent="0.3"/>
    <row r="49" spans="1:6" s="99" customFormat="1" x14ac:dyDescent="0.3">
      <c r="B49" s="54" t="s">
        <v>73</v>
      </c>
      <c r="C49" s="16"/>
      <c r="D49" s="26"/>
      <c r="E49" s="17"/>
      <c r="F49" s="17"/>
    </row>
    <row r="50" spans="1:6" s="99" customFormat="1" ht="15" customHeight="1" x14ac:dyDescent="0.3">
      <c r="B50" s="54" t="s">
        <v>102</v>
      </c>
      <c r="C50" s="16"/>
      <c r="D50" s="26"/>
      <c r="E50" s="24"/>
      <c r="F50" s="24"/>
    </row>
    <row r="51" spans="1:6" s="99" customFormat="1" x14ac:dyDescent="0.15">
      <c r="B51" s="1" t="s">
        <v>20</v>
      </c>
      <c r="C51" s="191" t="s">
        <v>103</v>
      </c>
      <c r="D51" s="192"/>
      <c r="E51" s="193"/>
      <c r="F51" s="5" t="s">
        <v>1</v>
      </c>
    </row>
    <row r="52" spans="1:6" x14ac:dyDescent="0.3">
      <c r="A52" s="99"/>
      <c r="B52" s="2" t="s">
        <v>2</v>
      </c>
      <c r="C52" s="181" t="s">
        <v>202</v>
      </c>
      <c r="D52" s="182"/>
      <c r="E52" s="183"/>
      <c r="F52" s="88"/>
    </row>
    <row r="53" spans="1:6" s="108" customFormat="1" x14ac:dyDescent="0.3"/>
    <row r="54" spans="1:6" x14ac:dyDescent="0.3">
      <c r="B54" s="54" t="s">
        <v>225</v>
      </c>
      <c r="C54" s="16"/>
      <c r="D54" s="26"/>
      <c r="E54" s="24"/>
      <c r="F54" s="24"/>
    </row>
    <row r="55" spans="1:6" x14ac:dyDescent="0.3">
      <c r="B55" s="1" t="s">
        <v>21</v>
      </c>
      <c r="C55" s="195" t="s">
        <v>224</v>
      </c>
      <c r="D55" s="195"/>
      <c r="E55" s="195"/>
      <c r="F55" s="5" t="s">
        <v>220</v>
      </c>
    </row>
    <row r="56" spans="1:6" x14ac:dyDescent="0.3">
      <c r="B56" s="1" t="s">
        <v>2</v>
      </c>
      <c r="C56" s="157" t="s">
        <v>126</v>
      </c>
      <c r="D56" s="157"/>
      <c r="E56" s="157"/>
      <c r="F56" s="87"/>
    </row>
    <row r="57" spans="1:6" ht="15" customHeight="1" x14ac:dyDescent="0.3">
      <c r="B57" s="1" t="s">
        <v>3</v>
      </c>
      <c r="C57" s="143" t="s">
        <v>134</v>
      </c>
      <c r="D57" s="144"/>
      <c r="E57" s="145"/>
      <c r="F57" s="87"/>
    </row>
    <row r="58" spans="1:6" s="108" customFormat="1" x14ac:dyDescent="0.3"/>
    <row r="59" spans="1:6" x14ac:dyDescent="0.3">
      <c r="B59" s="54" t="s">
        <v>77</v>
      </c>
      <c r="C59" s="16"/>
      <c r="D59" s="16"/>
      <c r="E59" s="24"/>
      <c r="F59" s="24"/>
    </row>
    <row r="60" spans="1:6" ht="15.75" customHeight="1" x14ac:dyDescent="0.3">
      <c r="B60" s="52">
        <v>5</v>
      </c>
      <c r="C60" s="187" t="s">
        <v>0</v>
      </c>
      <c r="D60" s="187"/>
      <c r="E60" s="187"/>
      <c r="F60" s="53" t="s">
        <v>13</v>
      </c>
    </row>
    <row r="61" spans="1:6" x14ac:dyDescent="0.3">
      <c r="B61" s="48" t="s">
        <v>2</v>
      </c>
      <c r="C61" s="188" t="s">
        <v>16</v>
      </c>
      <c r="D61" s="188"/>
      <c r="E61" s="188"/>
      <c r="F61" s="89">
        <v>92.49</v>
      </c>
    </row>
    <row r="62" spans="1:6" x14ac:dyDescent="0.3">
      <c r="B62" s="48" t="s">
        <v>3</v>
      </c>
      <c r="C62" s="189" t="s">
        <v>18</v>
      </c>
      <c r="D62" s="189"/>
      <c r="E62" s="189"/>
      <c r="F62" s="89"/>
    </row>
    <row r="63" spans="1:6" s="109" customFormat="1" x14ac:dyDescent="0.3">
      <c r="A63" s="17"/>
      <c r="B63" s="48" t="s">
        <v>4</v>
      </c>
      <c r="C63" s="188" t="s">
        <v>17</v>
      </c>
      <c r="D63" s="188"/>
      <c r="E63" s="188"/>
      <c r="F63" s="89">
        <v>33.18</v>
      </c>
    </row>
    <row r="64" spans="1:6" s="109" customFormat="1" x14ac:dyDescent="0.3">
      <c r="A64" s="17"/>
      <c r="B64" s="48" t="s">
        <v>5</v>
      </c>
      <c r="C64" s="177" t="s">
        <v>243</v>
      </c>
      <c r="D64" s="178"/>
      <c r="E64" s="179"/>
      <c r="F64" s="86"/>
    </row>
    <row r="65" spans="1:6" s="108" customFormat="1" x14ac:dyDescent="0.3"/>
    <row r="66" spans="1:6" s="110" customFormat="1" ht="16.5" customHeight="1" x14ac:dyDescent="0.3">
      <c r="A66" s="17"/>
      <c r="B66" s="180" t="s">
        <v>76</v>
      </c>
      <c r="C66" s="180"/>
      <c r="D66" s="180"/>
      <c r="E66" s="180"/>
      <c r="F66" s="180"/>
    </row>
    <row r="67" spans="1:6" s="111" customFormat="1" ht="16.5" customHeight="1" x14ac:dyDescent="0.3">
      <c r="A67" s="17"/>
      <c r="B67" s="1">
        <v>6</v>
      </c>
      <c r="C67" s="184" t="s">
        <v>22</v>
      </c>
      <c r="D67" s="185"/>
      <c r="E67" s="186"/>
      <c r="F67" s="5" t="s">
        <v>1</v>
      </c>
    </row>
    <row r="68" spans="1:6" s="111" customFormat="1" x14ac:dyDescent="0.3">
      <c r="A68" s="109"/>
      <c r="B68" s="1" t="s">
        <v>2</v>
      </c>
      <c r="C68" s="174" t="s">
        <v>78</v>
      </c>
      <c r="D68" s="175"/>
      <c r="E68" s="176"/>
      <c r="F68" s="94">
        <v>4.8499999999999996</v>
      </c>
    </row>
    <row r="69" spans="1:6" s="111" customFormat="1" x14ac:dyDescent="0.3">
      <c r="A69" s="109"/>
      <c r="B69" s="2" t="s">
        <v>3</v>
      </c>
      <c r="C69" s="143" t="s">
        <v>34</v>
      </c>
      <c r="D69" s="144"/>
      <c r="E69" s="145"/>
      <c r="F69" s="94">
        <v>5.45</v>
      </c>
    </row>
    <row r="70" spans="1:6" s="111" customFormat="1" x14ac:dyDescent="0.3">
      <c r="A70" s="110"/>
      <c r="B70" s="34" t="s">
        <v>79</v>
      </c>
      <c r="C70" s="174" t="s">
        <v>25</v>
      </c>
      <c r="D70" s="175"/>
      <c r="E70" s="176">
        <f>PERC_PIS</f>
        <v>0.65</v>
      </c>
      <c r="F70" s="94">
        <v>0.65</v>
      </c>
    </row>
    <row r="71" spans="1:6" x14ac:dyDescent="0.3">
      <c r="B71" s="34" t="s">
        <v>80</v>
      </c>
      <c r="C71" s="143" t="s">
        <v>26</v>
      </c>
      <c r="D71" s="144"/>
      <c r="E71" s="145">
        <f>PERC_COFINS</f>
        <v>3</v>
      </c>
      <c r="F71" s="94">
        <v>3</v>
      </c>
    </row>
    <row r="72" spans="1:6" x14ac:dyDescent="0.3">
      <c r="B72" s="34" t="s">
        <v>81</v>
      </c>
      <c r="C72" s="174" t="s">
        <v>27</v>
      </c>
      <c r="D72" s="175"/>
      <c r="E72" s="176">
        <f>PERC_ISS</f>
        <v>5</v>
      </c>
      <c r="F72" s="94">
        <v>5</v>
      </c>
    </row>
    <row r="73" spans="1:6" s="108" customFormat="1" x14ac:dyDescent="0.3"/>
    <row r="74" spans="1:6" ht="20.25" x14ac:dyDescent="0.3">
      <c r="B74" s="37" t="s">
        <v>203</v>
      </c>
      <c r="C74" s="38"/>
      <c r="D74" s="38"/>
      <c r="E74" s="38"/>
      <c r="F74" s="39"/>
    </row>
    <row r="75" spans="1:6" ht="33.75" customHeight="1" x14ac:dyDescent="0.3">
      <c r="B75" s="173" t="s">
        <v>221</v>
      </c>
      <c r="C75" s="173"/>
      <c r="D75" s="173"/>
      <c r="E75" s="173"/>
      <c r="F75" s="173"/>
    </row>
  </sheetData>
  <mergeCells count="60">
    <mergeCell ref="C46:D46"/>
    <mergeCell ref="C32:E32"/>
    <mergeCell ref="C42:D42"/>
    <mergeCell ref="C41:D41"/>
    <mergeCell ref="C43:D43"/>
    <mergeCell ref="C34:E34"/>
    <mergeCell ref="C35:E35"/>
    <mergeCell ref="C68:E68"/>
    <mergeCell ref="C64:E64"/>
    <mergeCell ref="B66:F66"/>
    <mergeCell ref="C38:E38"/>
    <mergeCell ref="C52:E52"/>
    <mergeCell ref="C67:E67"/>
    <mergeCell ref="C60:E60"/>
    <mergeCell ref="C61:E61"/>
    <mergeCell ref="C62:E62"/>
    <mergeCell ref="C63:E63"/>
    <mergeCell ref="C47:D47"/>
    <mergeCell ref="C51:E51"/>
    <mergeCell ref="C44:D44"/>
    <mergeCell ref="C45:D45"/>
    <mergeCell ref="C55:E55"/>
    <mergeCell ref="C56:E56"/>
    <mergeCell ref="B75:F75"/>
    <mergeCell ref="C70:E70"/>
    <mergeCell ref="C72:E72"/>
    <mergeCell ref="C69:E69"/>
    <mergeCell ref="C71:E71"/>
    <mergeCell ref="B1:F1"/>
    <mergeCell ref="B2:D2"/>
    <mergeCell ref="B4:F4"/>
    <mergeCell ref="B5:F5"/>
    <mergeCell ref="C24:D24"/>
    <mergeCell ref="E24:F24"/>
    <mergeCell ref="D18:E18"/>
    <mergeCell ref="D20:E20"/>
    <mergeCell ref="D21:E21"/>
    <mergeCell ref="B23:F23"/>
    <mergeCell ref="D19:E19"/>
    <mergeCell ref="B6:C6"/>
    <mergeCell ref="D6:F6"/>
    <mergeCell ref="D8:E8"/>
    <mergeCell ref="B17:F17"/>
    <mergeCell ref="B7:C7"/>
    <mergeCell ref="C57:E57"/>
    <mergeCell ref="C15:E15"/>
    <mergeCell ref="D7:E7"/>
    <mergeCell ref="B10:F10"/>
    <mergeCell ref="C11:E11"/>
    <mergeCell ref="D12:F12"/>
    <mergeCell ref="C14:E14"/>
    <mergeCell ref="B8:C8"/>
    <mergeCell ref="C13:E13"/>
    <mergeCell ref="D25:F25"/>
    <mergeCell ref="C36:E36"/>
    <mergeCell ref="D26:F26"/>
    <mergeCell ref="C28:E28"/>
    <mergeCell ref="C27:E27"/>
    <mergeCell ref="C33:E33"/>
    <mergeCell ref="C37:E37"/>
  </mergeCells>
  <dataValidations count="9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2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1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70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, para serviços de vigilância, é de 5,45%, conforme estudos realizados pela Auditoria Interna do MPU." sqref="F69" xr:uid="{00000000-0002-0000-0000-000003000000}">
      <formula1>0</formula1>
      <formula2>5.45</formula2>
    </dataValidation>
    <dataValidation type="decimal" errorStyle="warning" allowBlank="1" showInputMessage="1" showErrorMessage="1" errorTitle="Erro na inserção de dados." error="O percentual recomendado de custos indiretos, para serviços de vigilância, é de 4,85%, conforme estudos realizados pela Auditoria Interna do MPU." sqref="F68" xr:uid="{00000000-0002-0000-0000-000004000000}">
      <formula1>0</formula1>
      <formula2>4.85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3" xr:uid="{00000000-0002-0000-0000-000005000000}">
      <formula1>F28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7" xr:uid="{00000000-0002-0000-0000-000006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7000000}">
      <formula1>0</formula1>
    </dataValidation>
    <dataValidation type="list" allowBlank="1" showInputMessage="1" showErrorMessage="1" sqref="F13" xr:uid="{00000000-0002-0000-0000-000008000000}">
      <formula1>"AC,AL,AP,AM,BA,CE,DF,ES,GO,MA,MG,MS,MT,PA,PB,PR,PE,PI,RJ,RN,RO,RR,RS,SC,SP,SE,TO"</formula1>
    </dataValidation>
  </dataValidations>
  <pageMargins left="0.17" right="0.17" top="0.31" bottom="0.68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topLeftCell="A16" workbookViewId="0">
      <selection activeCell="C32" sqref="C32:F32"/>
    </sheetView>
  </sheetViews>
  <sheetFormatPr defaultColWidth="9.140625" defaultRowHeight="16.5" x14ac:dyDescent="0.3"/>
  <cols>
    <col min="1" max="1" width="2.7109375" style="17" customWidth="1"/>
    <col min="2" max="2" width="8.85546875" style="17" customWidth="1"/>
    <col min="3" max="3" width="52.5703125" style="23" customWidth="1"/>
    <col min="4" max="4" width="7.85546875" style="23" customWidth="1"/>
    <col min="5" max="5" width="13.5703125" style="23" customWidth="1"/>
    <col min="6" max="6" width="15.42578125" style="23" bestFit="1" customWidth="1"/>
    <col min="7" max="16384" width="9.140625" style="17"/>
  </cols>
  <sheetData>
    <row r="1" spans="1:6" s="99" customFormat="1" ht="25.5" x14ac:dyDescent="0.5">
      <c r="B1" s="107" t="s">
        <v>208</v>
      </c>
      <c r="C1" s="17"/>
      <c r="D1" s="17"/>
      <c r="E1" s="17"/>
      <c r="F1" s="17"/>
    </row>
    <row r="2" spans="1:6" x14ac:dyDescent="0.3">
      <c r="B2" s="54" t="s">
        <v>8</v>
      </c>
      <c r="E2" s="18"/>
      <c r="F2" s="18"/>
    </row>
    <row r="3" spans="1:6" ht="33" x14ac:dyDescent="0.3">
      <c r="B3" s="1">
        <v>1</v>
      </c>
      <c r="C3" s="196" t="s">
        <v>9</v>
      </c>
      <c r="D3" s="196"/>
      <c r="E3" s="196"/>
      <c r="F3" s="5" t="s">
        <v>226</v>
      </c>
    </row>
    <row r="4" spans="1:6" x14ac:dyDescent="0.3">
      <c r="B4" s="1" t="s">
        <v>2</v>
      </c>
      <c r="C4" s="143" t="s">
        <v>124</v>
      </c>
      <c r="D4" s="144"/>
      <c r="E4" s="145"/>
      <c r="F4" s="76">
        <v>220</v>
      </c>
    </row>
    <row r="5" spans="1:6" x14ac:dyDescent="0.3">
      <c r="B5" s="1" t="s">
        <v>3</v>
      </c>
      <c r="C5" s="157" t="s">
        <v>119</v>
      </c>
      <c r="D5" s="157"/>
      <c r="E5" s="157"/>
      <c r="F5" s="78">
        <v>7</v>
      </c>
    </row>
    <row r="6" spans="1:6" x14ac:dyDescent="0.3">
      <c r="B6" s="1" t="s">
        <v>4</v>
      </c>
      <c r="C6" s="143" t="s">
        <v>118</v>
      </c>
      <c r="D6" s="144"/>
      <c r="E6" s="145"/>
      <c r="F6" s="76">
        <v>365</v>
      </c>
    </row>
    <row r="7" spans="1:6" x14ac:dyDescent="0.3">
      <c r="B7" s="1" t="s">
        <v>5</v>
      </c>
      <c r="C7" s="157" t="s">
        <v>142</v>
      </c>
      <c r="D7" s="157"/>
      <c r="E7" s="157"/>
      <c r="F7" s="79">
        <v>15.2</v>
      </c>
    </row>
    <row r="8" spans="1:6" x14ac:dyDescent="0.3">
      <c r="B8" s="1" t="s">
        <v>6</v>
      </c>
      <c r="C8" s="143" t="s">
        <v>125</v>
      </c>
      <c r="D8" s="144"/>
      <c r="E8" s="145"/>
      <c r="F8" s="76">
        <v>12</v>
      </c>
    </row>
    <row r="9" spans="1:6" x14ac:dyDescent="0.3">
      <c r="B9" s="1" t="s">
        <v>7</v>
      </c>
      <c r="C9" s="157" t="s">
        <v>120</v>
      </c>
      <c r="D9" s="157"/>
      <c r="E9" s="157"/>
      <c r="F9" s="78">
        <v>60</v>
      </c>
    </row>
    <row r="10" spans="1:6" s="21" customFormat="1" x14ac:dyDescent="0.3">
      <c r="A10" s="17"/>
      <c r="B10" s="1" t="s">
        <v>10</v>
      </c>
      <c r="C10" s="143" t="s">
        <v>121</v>
      </c>
      <c r="D10" s="144"/>
      <c r="E10" s="145"/>
      <c r="F10" s="77">
        <v>52.5</v>
      </c>
    </row>
    <row r="11" spans="1:6" s="108" customFormat="1" x14ac:dyDescent="0.3"/>
    <row r="12" spans="1:6" s="108" customFormat="1" x14ac:dyDescent="0.3">
      <c r="A12" s="17"/>
      <c r="B12" s="54" t="s">
        <v>71</v>
      </c>
      <c r="C12" s="100"/>
      <c r="D12" s="100"/>
      <c r="E12" s="100"/>
      <c r="F12" s="100"/>
    </row>
    <row r="13" spans="1:6" s="108" customFormat="1" ht="15" customHeight="1" x14ac:dyDescent="0.3">
      <c r="A13" s="17"/>
      <c r="B13" s="1" t="s">
        <v>90</v>
      </c>
      <c r="C13" s="197" t="s">
        <v>14</v>
      </c>
      <c r="D13" s="198"/>
      <c r="E13" s="5" t="s">
        <v>40</v>
      </c>
      <c r="F13" s="5" t="s">
        <v>227</v>
      </c>
    </row>
    <row r="14" spans="1:6" s="108" customFormat="1" x14ac:dyDescent="0.3">
      <c r="B14" s="133" t="s">
        <v>2</v>
      </c>
      <c r="C14" s="155" t="s">
        <v>143</v>
      </c>
      <c r="D14" s="155"/>
      <c r="E14" s="134" t="s">
        <v>141</v>
      </c>
      <c r="F14" s="80">
        <v>6</v>
      </c>
    </row>
    <row r="15" spans="1:6" s="108" customFormat="1" x14ac:dyDescent="0.3">
      <c r="B15" s="133" t="s">
        <v>3</v>
      </c>
      <c r="C15" s="156" t="s">
        <v>144</v>
      </c>
      <c r="D15" s="156"/>
      <c r="E15" s="135" t="s">
        <v>141</v>
      </c>
      <c r="F15" s="81">
        <v>15</v>
      </c>
    </row>
    <row r="16" spans="1:6" s="108" customFormat="1" x14ac:dyDescent="0.3">
      <c r="B16" s="133" t="s">
        <v>4</v>
      </c>
      <c r="C16" s="155" t="s">
        <v>145</v>
      </c>
      <c r="D16" s="155"/>
      <c r="E16" s="134" t="s">
        <v>141</v>
      </c>
      <c r="F16" s="80">
        <v>22</v>
      </c>
    </row>
    <row r="17" spans="1:6" s="108" customFormat="1" x14ac:dyDescent="0.3"/>
    <row r="18" spans="1:6" s="99" customFormat="1" x14ac:dyDescent="0.3">
      <c r="A18" s="108"/>
      <c r="B18" s="54" t="s">
        <v>72</v>
      </c>
      <c r="C18" s="16"/>
      <c r="D18" s="26"/>
      <c r="E18" s="24"/>
      <c r="F18" s="24"/>
    </row>
    <row r="19" spans="1:6" s="99" customFormat="1" x14ac:dyDescent="0.3">
      <c r="A19" s="108"/>
      <c r="B19" s="1">
        <v>3</v>
      </c>
      <c r="C19" s="184" t="s">
        <v>50</v>
      </c>
      <c r="D19" s="185"/>
      <c r="E19" s="186"/>
      <c r="F19" s="5" t="s">
        <v>227</v>
      </c>
    </row>
    <row r="20" spans="1:6" s="99" customFormat="1" x14ac:dyDescent="0.3">
      <c r="A20" s="108"/>
      <c r="B20" s="1" t="s">
        <v>2</v>
      </c>
      <c r="C20" s="174" t="s">
        <v>210</v>
      </c>
      <c r="D20" s="175"/>
      <c r="E20" s="176"/>
      <c r="F20" s="59">
        <v>62.93</v>
      </c>
    </row>
    <row r="21" spans="1:6" x14ac:dyDescent="0.3">
      <c r="A21" s="108"/>
      <c r="B21" s="2" t="s">
        <v>3</v>
      </c>
      <c r="C21" s="199" t="s">
        <v>127</v>
      </c>
      <c r="D21" s="200"/>
      <c r="E21" s="201"/>
      <c r="F21" s="40">
        <v>5.55</v>
      </c>
    </row>
    <row r="22" spans="1:6" s="99" customFormat="1" ht="15.95" customHeight="1" x14ac:dyDescent="0.15">
      <c r="B22" s="2" t="s">
        <v>4</v>
      </c>
      <c r="C22" s="174" t="s">
        <v>128</v>
      </c>
      <c r="D22" s="175"/>
      <c r="E22" s="176"/>
      <c r="F22" s="80">
        <v>40</v>
      </c>
    </row>
    <row r="23" spans="1:6" ht="16.5" customHeight="1" x14ac:dyDescent="0.3">
      <c r="A23" s="108"/>
      <c r="B23" s="2" t="s">
        <v>5</v>
      </c>
      <c r="C23" s="199" t="s">
        <v>129</v>
      </c>
      <c r="D23" s="200"/>
      <c r="E23" s="201"/>
      <c r="F23" s="40">
        <v>94.45</v>
      </c>
    </row>
    <row r="24" spans="1:6" x14ac:dyDescent="0.3">
      <c r="A24" s="108"/>
      <c r="B24" s="2" t="s">
        <v>6</v>
      </c>
      <c r="C24" s="174" t="s">
        <v>139</v>
      </c>
      <c r="D24" s="175"/>
      <c r="E24" s="176"/>
      <c r="F24" s="80">
        <v>30</v>
      </c>
    </row>
    <row r="25" spans="1:6" s="108" customFormat="1" x14ac:dyDescent="0.3"/>
    <row r="26" spans="1:6" s="99" customFormat="1" x14ac:dyDescent="0.3">
      <c r="B26" s="54" t="s">
        <v>73</v>
      </c>
      <c r="C26" s="16"/>
      <c r="D26" s="26"/>
      <c r="E26" s="17"/>
      <c r="F26" s="17"/>
    </row>
    <row r="27" spans="1:6" s="99" customFormat="1" ht="15" customHeight="1" x14ac:dyDescent="0.3">
      <c r="B27" s="54" t="s">
        <v>102</v>
      </c>
      <c r="C27" s="16"/>
      <c r="D27" s="26"/>
      <c r="E27" s="24"/>
      <c r="F27" s="24"/>
    </row>
    <row r="28" spans="1:6" s="99" customFormat="1" x14ac:dyDescent="0.15">
      <c r="B28" s="1" t="s">
        <v>20</v>
      </c>
      <c r="C28" s="191" t="s">
        <v>103</v>
      </c>
      <c r="D28" s="192"/>
      <c r="E28" s="193"/>
      <c r="F28" s="5" t="s">
        <v>227</v>
      </c>
    </row>
    <row r="29" spans="1:6" s="99" customFormat="1" x14ac:dyDescent="0.15">
      <c r="B29" s="1" t="s">
        <v>2</v>
      </c>
      <c r="C29" s="174" t="s">
        <v>130</v>
      </c>
      <c r="D29" s="175"/>
      <c r="E29" s="176"/>
      <c r="F29" s="80">
        <v>8</v>
      </c>
    </row>
    <row r="30" spans="1:6" x14ac:dyDescent="0.3">
      <c r="A30" s="99"/>
      <c r="B30" s="2" t="s">
        <v>3</v>
      </c>
      <c r="C30" s="143" t="s">
        <v>131</v>
      </c>
      <c r="D30" s="144"/>
      <c r="E30" s="145"/>
      <c r="F30" s="81">
        <v>20</v>
      </c>
    </row>
    <row r="31" spans="1:6" x14ac:dyDescent="0.3">
      <c r="A31" s="99"/>
      <c r="B31" s="2" t="s">
        <v>4</v>
      </c>
      <c r="C31" s="174" t="s">
        <v>132</v>
      </c>
      <c r="D31" s="175"/>
      <c r="E31" s="176"/>
      <c r="F31" s="59">
        <v>1.42</v>
      </c>
    </row>
    <row r="32" spans="1:6" x14ac:dyDescent="0.3">
      <c r="A32" s="99"/>
      <c r="B32" s="2" t="s">
        <v>5</v>
      </c>
      <c r="C32" s="143" t="s">
        <v>133</v>
      </c>
      <c r="D32" s="144"/>
      <c r="E32" s="145"/>
      <c r="F32" s="40">
        <v>86.46</v>
      </c>
    </row>
    <row r="33" spans="1:6" s="99" customFormat="1" ht="15.95" customHeight="1" x14ac:dyDescent="0.3">
      <c r="A33" s="17"/>
      <c r="B33" s="2" t="s">
        <v>6</v>
      </c>
      <c r="C33" s="174" t="s">
        <v>135</v>
      </c>
      <c r="D33" s="175"/>
      <c r="E33" s="176"/>
      <c r="F33" s="59">
        <f>(154800/34808000)*100</f>
        <v>0.44</v>
      </c>
    </row>
    <row r="34" spans="1:6" ht="15.75" customHeight="1" x14ac:dyDescent="0.3">
      <c r="A34" s="99"/>
      <c r="B34" s="2" t="s">
        <v>7</v>
      </c>
      <c r="C34" s="143" t="s">
        <v>140</v>
      </c>
      <c r="D34" s="144"/>
      <c r="E34" s="145"/>
      <c r="F34" s="81">
        <v>15</v>
      </c>
    </row>
    <row r="35" spans="1:6" ht="15.75" customHeight="1" x14ac:dyDescent="0.3">
      <c r="A35" s="99"/>
      <c r="B35" s="2" t="s">
        <v>10</v>
      </c>
      <c r="C35" s="174" t="s">
        <v>136</v>
      </c>
      <c r="D35" s="175"/>
      <c r="E35" s="176"/>
      <c r="F35" s="80">
        <v>180</v>
      </c>
    </row>
    <row r="36" spans="1:6" x14ac:dyDescent="0.3">
      <c r="A36" s="99"/>
      <c r="B36" s="2" t="s">
        <v>11</v>
      </c>
      <c r="C36" s="143" t="s">
        <v>137</v>
      </c>
      <c r="D36" s="144"/>
      <c r="E36" s="145"/>
      <c r="F36" s="40">
        <v>13.54</v>
      </c>
    </row>
    <row r="37" spans="1:6" s="108" customFormat="1" ht="8.25" customHeight="1" x14ac:dyDescent="0.3"/>
    <row r="38" spans="1:6" x14ac:dyDescent="0.3">
      <c r="B38" s="54" t="s">
        <v>74</v>
      </c>
      <c r="C38" s="16"/>
      <c r="D38" s="26"/>
      <c r="E38" s="24"/>
      <c r="F38" s="24"/>
    </row>
    <row r="39" spans="1:6" x14ac:dyDescent="0.3">
      <c r="B39" s="1" t="s">
        <v>21</v>
      </c>
      <c r="C39" s="195" t="s">
        <v>75</v>
      </c>
      <c r="D39" s="195"/>
      <c r="E39" s="195"/>
      <c r="F39" s="5" t="s">
        <v>228</v>
      </c>
    </row>
    <row r="40" spans="1:6" x14ac:dyDescent="0.3">
      <c r="B40" s="1" t="s">
        <v>2</v>
      </c>
      <c r="C40" s="157" t="s">
        <v>126</v>
      </c>
      <c r="D40" s="157"/>
      <c r="E40" s="157"/>
      <c r="F40" s="78">
        <f>PERC_HORA_EXTRA</f>
        <v>0</v>
      </c>
    </row>
    <row r="41" spans="1:6" ht="15" customHeight="1" x14ac:dyDescent="0.3">
      <c r="B41" s="1" t="s">
        <v>3</v>
      </c>
      <c r="C41" s="143" t="s">
        <v>134</v>
      </c>
      <c r="D41" s="144"/>
      <c r="E41" s="145"/>
      <c r="F41" s="76">
        <f>TEMPO_INTERVALO_REFEICAO</f>
        <v>0</v>
      </c>
    </row>
    <row r="42" spans="1:6" s="108" customFormat="1" x14ac:dyDescent="0.3"/>
    <row r="43" spans="1:6" ht="20.25" x14ac:dyDescent="0.3">
      <c r="B43" s="37" t="s">
        <v>203</v>
      </c>
      <c r="C43" s="38"/>
      <c r="D43" s="38"/>
      <c r="E43" s="38"/>
      <c r="F43" s="39"/>
    </row>
    <row r="44" spans="1:6" ht="33.75" customHeight="1" x14ac:dyDescent="0.3">
      <c r="B44" s="173" t="s">
        <v>221</v>
      </c>
      <c r="C44" s="173"/>
      <c r="D44" s="173"/>
      <c r="E44" s="173"/>
      <c r="F44" s="173"/>
    </row>
  </sheetData>
  <sheetProtection sheet="1" objects="1" scenarios="1"/>
  <mergeCells count="31">
    <mergeCell ref="B44:F44"/>
    <mergeCell ref="C39:E39"/>
    <mergeCell ref="C40:E40"/>
    <mergeCell ref="C41:E41"/>
    <mergeCell ref="C32:E32"/>
    <mergeCell ref="C33:E33"/>
    <mergeCell ref="C34:E34"/>
    <mergeCell ref="C35:E35"/>
    <mergeCell ref="C36:E36"/>
    <mergeCell ref="C31:E31"/>
    <mergeCell ref="C19:E19"/>
    <mergeCell ref="C20:E20"/>
    <mergeCell ref="C21:E21"/>
    <mergeCell ref="C22:E22"/>
    <mergeCell ref="C23:E23"/>
    <mergeCell ref="C24:E24"/>
    <mergeCell ref="C28:E28"/>
    <mergeCell ref="C29:E29"/>
    <mergeCell ref="C30:E30"/>
    <mergeCell ref="C14:D14"/>
    <mergeCell ref="C15:D15"/>
    <mergeCell ref="C16:D16"/>
    <mergeCell ref="C13:D13"/>
    <mergeCell ref="C8:E8"/>
    <mergeCell ref="C9:E9"/>
    <mergeCell ref="C10:E10"/>
    <mergeCell ref="C4:E4"/>
    <mergeCell ref="C5:E5"/>
    <mergeCell ref="C6:E6"/>
    <mergeCell ref="C7:E7"/>
    <mergeCell ref="C3:E3"/>
  </mergeCells>
  <dataValidations count="2">
    <dataValidation errorStyle="information" allowBlank="1" showInputMessage="1" showErrorMessage="1" promptTitle="Intervalo Intrajornada" prompt="Segundo estudos da Audin-MPU, esse item não é usual nas planilhas do MPU. Verifique se realmente há necessidade de incluí-lo." sqref="F40" xr:uid="{00000000-0002-0000-0100-000000000000}"/>
    <dataValidation allowBlank="1" showInputMessage="1" showErrorMessage="1" promptTitle="Intervalo Intrajornada" prompt="Segundo estudos da Audin-MPU, esse item não é usual nas planilhas do MPU. Verifique se realmente há necessidade de incluí-lo." sqref="F41" xr:uid="{00000000-0002-0000-0100-000001000000}"/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34"/>
  <sheetViews>
    <sheetView workbookViewId="0">
      <selection activeCell="C28" sqref="C28:E28"/>
    </sheetView>
  </sheetViews>
  <sheetFormatPr defaultColWidth="9.140625" defaultRowHeight="16.5" x14ac:dyDescent="0.3"/>
  <cols>
    <col min="1" max="1" width="2.7109375" style="17" customWidth="1"/>
    <col min="2" max="2" width="8.85546875" style="17" customWidth="1"/>
    <col min="3" max="3" width="52.5703125" style="23" customWidth="1"/>
    <col min="4" max="4" width="22" style="23" customWidth="1"/>
    <col min="5" max="5" width="7.85546875" style="23" customWidth="1"/>
    <col min="6" max="6" width="46.28515625" style="17" customWidth="1"/>
    <col min="7" max="16384" width="9.140625" style="17"/>
  </cols>
  <sheetData>
    <row r="1" spans="2:6" s="99" customFormat="1" ht="25.5" x14ac:dyDescent="0.5">
      <c r="B1" s="107" t="s">
        <v>209</v>
      </c>
      <c r="C1" s="17"/>
      <c r="D1" s="17"/>
      <c r="E1" s="17"/>
      <c r="F1" s="17"/>
    </row>
    <row r="2" spans="2:6" x14ac:dyDescent="0.3">
      <c r="B2" s="54" t="s">
        <v>66</v>
      </c>
      <c r="E2" s="25"/>
    </row>
    <row r="3" spans="2:6" x14ac:dyDescent="0.3">
      <c r="B3" s="54" t="s">
        <v>110</v>
      </c>
      <c r="C3" s="16"/>
      <c r="D3" s="26"/>
      <c r="E3" s="24"/>
    </row>
    <row r="4" spans="2:6" x14ac:dyDescent="0.3">
      <c r="B4" s="1" t="s">
        <v>67</v>
      </c>
      <c r="C4" s="195" t="s">
        <v>93</v>
      </c>
      <c r="D4" s="195"/>
      <c r="E4" s="5" t="s">
        <v>1</v>
      </c>
      <c r="F4" s="5" t="s">
        <v>211</v>
      </c>
    </row>
    <row r="5" spans="2:6" x14ac:dyDescent="0.3">
      <c r="B5" s="1" t="s">
        <v>2</v>
      </c>
      <c r="C5" s="202" t="s">
        <v>49</v>
      </c>
      <c r="D5" s="202"/>
      <c r="E5" s="60">
        <f>(1/MESES_NO_ANO)*100</f>
        <v>8.33</v>
      </c>
      <c r="F5" s="60" t="s">
        <v>212</v>
      </c>
    </row>
    <row r="6" spans="2:6" s="21" customFormat="1" x14ac:dyDescent="0.3">
      <c r="B6" s="2" t="s">
        <v>3</v>
      </c>
      <c r="C6" s="203" t="s">
        <v>95</v>
      </c>
      <c r="D6" s="203"/>
      <c r="E6" s="42">
        <f>(1/3)/MESES_NO_ANO*100</f>
        <v>2.78</v>
      </c>
      <c r="F6" s="42" t="s">
        <v>213</v>
      </c>
    </row>
    <row r="7" spans="2:6" s="108" customFormat="1" ht="16.5" customHeight="1" x14ac:dyDescent="0.3">
      <c r="B7" s="204" t="s">
        <v>68</v>
      </c>
      <c r="C7" s="204"/>
      <c r="D7" s="204"/>
      <c r="E7" s="204"/>
      <c r="F7" s="204"/>
    </row>
    <row r="8" spans="2:6" s="108" customFormat="1" x14ac:dyDescent="0.3">
      <c r="B8" s="1" t="s">
        <v>69</v>
      </c>
      <c r="C8" s="208" t="s">
        <v>96</v>
      </c>
      <c r="D8" s="208"/>
      <c r="E8" s="5" t="s">
        <v>1</v>
      </c>
    </row>
    <row r="9" spans="2:6" x14ac:dyDescent="0.3">
      <c r="B9" s="1" t="s">
        <v>2</v>
      </c>
      <c r="C9" s="202" t="s">
        <v>43</v>
      </c>
      <c r="D9" s="202"/>
      <c r="E9" s="60">
        <v>20</v>
      </c>
    </row>
    <row r="10" spans="2:6" s="99" customFormat="1" x14ac:dyDescent="0.15">
      <c r="B10" s="2" t="s">
        <v>3</v>
      </c>
      <c r="C10" s="203" t="s">
        <v>45</v>
      </c>
      <c r="D10" s="203"/>
      <c r="E10" s="49">
        <v>2.5</v>
      </c>
    </row>
    <row r="11" spans="2:6" s="99" customFormat="1" x14ac:dyDescent="0.15">
      <c r="B11" s="2" t="s">
        <v>4</v>
      </c>
      <c r="C11" s="202" t="s">
        <v>89</v>
      </c>
      <c r="D11" s="202"/>
      <c r="E11" s="60">
        <v>3</v>
      </c>
    </row>
    <row r="12" spans="2:6" s="99" customFormat="1" x14ac:dyDescent="0.15">
      <c r="B12" s="2" t="s">
        <v>5</v>
      </c>
      <c r="C12" s="203" t="s">
        <v>87</v>
      </c>
      <c r="D12" s="203"/>
      <c r="E12" s="42">
        <v>1.5</v>
      </c>
    </row>
    <row r="13" spans="2:6" s="99" customFormat="1" x14ac:dyDescent="0.15">
      <c r="B13" s="2" t="s">
        <v>6</v>
      </c>
      <c r="C13" s="202" t="s">
        <v>88</v>
      </c>
      <c r="D13" s="202"/>
      <c r="E13" s="60">
        <v>1</v>
      </c>
    </row>
    <row r="14" spans="2:6" s="100" customFormat="1" x14ac:dyDescent="0.15">
      <c r="B14" s="2" t="s">
        <v>7</v>
      </c>
      <c r="C14" s="203" t="s">
        <v>47</v>
      </c>
      <c r="D14" s="203"/>
      <c r="E14" s="49">
        <v>0.6</v>
      </c>
    </row>
    <row r="15" spans="2:6" s="100" customFormat="1" x14ac:dyDescent="0.15">
      <c r="B15" s="2" t="s">
        <v>10</v>
      </c>
      <c r="C15" s="202" t="s">
        <v>44</v>
      </c>
      <c r="D15" s="202"/>
      <c r="E15" s="60">
        <v>0.2</v>
      </c>
    </row>
    <row r="16" spans="2:6" x14ac:dyDescent="0.3">
      <c r="B16" s="2" t="s">
        <v>11</v>
      </c>
      <c r="C16" s="203" t="s">
        <v>46</v>
      </c>
      <c r="D16" s="203"/>
      <c r="E16" s="49">
        <v>8</v>
      </c>
    </row>
    <row r="17" spans="2:6" x14ac:dyDescent="0.3">
      <c r="B17" s="195" t="s">
        <v>48</v>
      </c>
      <c r="C17" s="195"/>
      <c r="D17" s="195"/>
      <c r="E17" s="43">
        <f>SUM(E9:E16)</f>
        <v>36.799999999999997</v>
      </c>
    </row>
    <row r="18" spans="2:6" s="108" customFormat="1" x14ac:dyDescent="0.3">
      <c r="B18" s="54" t="s">
        <v>72</v>
      </c>
      <c r="C18" s="16"/>
      <c r="D18" s="26"/>
      <c r="E18" s="24"/>
    </row>
    <row r="19" spans="2:6" s="108" customFormat="1" x14ac:dyDescent="0.3">
      <c r="B19" s="1">
        <v>3</v>
      </c>
      <c r="C19" s="195" t="s">
        <v>50</v>
      </c>
      <c r="D19" s="195"/>
      <c r="E19" s="5" t="s">
        <v>1</v>
      </c>
      <c r="F19" s="5" t="s">
        <v>211</v>
      </c>
    </row>
    <row r="20" spans="2:6" s="108" customFormat="1" x14ac:dyDescent="0.3">
      <c r="B20" s="1" t="s">
        <v>2</v>
      </c>
      <c r="C20" s="205" t="s">
        <v>51</v>
      </c>
      <c r="D20" s="205"/>
      <c r="E20" s="60">
        <f>PERC_EMPREG_DEMIT_SEM_JUSTA_CAUSA_TOTAL_DESLIG%*PERC_EMPREG_AVISO_PREVIO_IND%*1/MESES_NO_ANO*100</f>
        <v>0.28999999999999998</v>
      </c>
      <c r="F20" s="60" t="s">
        <v>214</v>
      </c>
    </row>
    <row r="21" spans="2:6" s="108" customFormat="1" x14ac:dyDescent="0.3">
      <c r="B21" s="2" t="s">
        <v>3</v>
      </c>
      <c r="C21" s="207" t="s">
        <v>52</v>
      </c>
      <c r="D21" s="207"/>
      <c r="E21" s="49">
        <f>PERC_EMPREG_DEMIT_SEM_JUSTA_CAUSA_TOTAL_DESLIG%*PERC_EMPREG_AVISO_PREVIO_TRAB%*(DIAS_NA_SEMANA/DIAS_NO_MES)/MESES_NO_ANO*100</f>
        <v>1.1599999999999999</v>
      </c>
      <c r="F21" s="42" t="s">
        <v>229</v>
      </c>
    </row>
    <row r="22" spans="2:6" s="99" customFormat="1" ht="16.5" customHeight="1" x14ac:dyDescent="0.15">
      <c r="B22" s="2" t="s">
        <v>4</v>
      </c>
      <c r="C22" s="205" t="s">
        <v>231</v>
      </c>
      <c r="D22" s="205"/>
      <c r="E22" s="60">
        <f>ROUNDUP(PERC_AVISO_PREVIO_TRAB%*(PERC_MULTA_FGTS%)*PERC_FGTS%*100,2)</f>
        <v>0.04</v>
      </c>
      <c r="F22" s="60" t="s">
        <v>230</v>
      </c>
    </row>
    <row r="23" spans="2:6" s="99" customFormat="1" x14ac:dyDescent="0.3">
      <c r="B23" s="54" t="s">
        <v>73</v>
      </c>
      <c r="C23" s="16"/>
      <c r="D23" s="26"/>
      <c r="E23" s="17"/>
    </row>
    <row r="24" spans="2:6" s="99" customFormat="1" x14ac:dyDescent="0.3">
      <c r="B24" s="54" t="s">
        <v>102</v>
      </c>
      <c r="C24" s="16"/>
      <c r="D24" s="26"/>
      <c r="E24" s="24"/>
    </row>
    <row r="25" spans="2:6" s="99" customFormat="1" x14ac:dyDescent="0.15">
      <c r="B25" s="1" t="s">
        <v>20</v>
      </c>
      <c r="C25" s="206" t="s">
        <v>103</v>
      </c>
      <c r="D25" s="206"/>
      <c r="E25" s="5" t="s">
        <v>1</v>
      </c>
      <c r="F25" s="5" t="s">
        <v>211</v>
      </c>
    </row>
    <row r="26" spans="2:6" s="99" customFormat="1" x14ac:dyDescent="0.15">
      <c r="B26" s="2" t="s">
        <v>2</v>
      </c>
      <c r="C26" s="202" t="s">
        <v>104</v>
      </c>
      <c r="D26" s="202"/>
      <c r="E26" s="60">
        <f>(1/MESES_NO_ANO)*100</f>
        <v>8.33</v>
      </c>
      <c r="F26" s="60" t="s">
        <v>215</v>
      </c>
    </row>
    <row r="27" spans="2:6" s="99" customFormat="1" x14ac:dyDescent="0.15">
      <c r="B27" s="2" t="s">
        <v>3</v>
      </c>
      <c r="C27" s="96" t="s">
        <v>105</v>
      </c>
      <c r="D27" s="96"/>
      <c r="E27" s="49">
        <f>(DIAS_AUSENCIAS_LEGAIS/DIAS_NO_MES)/MESES_NO_ANO*100</f>
        <v>2.2200000000000002</v>
      </c>
      <c r="F27" s="42" t="s">
        <v>216</v>
      </c>
    </row>
    <row r="28" spans="2:6" s="99" customFormat="1" x14ac:dyDescent="0.15">
      <c r="B28" s="2" t="s">
        <v>4</v>
      </c>
      <c r="C28" s="202" t="s">
        <v>106</v>
      </c>
      <c r="D28" s="202"/>
      <c r="E28" s="60">
        <f>(((DIAS_LICENCA_PATERNIDADE/DIAS_NO_MES)/MESES_NO_ANO)*PERC_NASCIDOS_VIVOS_POPUL_FEM%*PERC_PARTIC_MASC_VIGIL%)*100</f>
        <v>7.0000000000000007E-2</v>
      </c>
      <c r="F28" s="60" t="s">
        <v>218</v>
      </c>
    </row>
    <row r="29" spans="2:6" s="99" customFormat="1" x14ac:dyDescent="0.15">
      <c r="B29" s="2" t="s">
        <v>5</v>
      </c>
      <c r="C29" s="203" t="s">
        <v>107</v>
      </c>
      <c r="D29" s="203"/>
      <c r="E29" s="49">
        <f>(DIAS_PAGOS_EMPRESA_ACID_TRAB/DIAS_NO_MES)/MESES_NO_ANO*PERC_EMPREG_AFAST_TRAB%*100</f>
        <v>0.02</v>
      </c>
      <c r="F29" s="42" t="s">
        <v>217</v>
      </c>
    </row>
    <row r="30" spans="2:6" s="99" customFormat="1" x14ac:dyDescent="0.15">
      <c r="B30" s="2" t="s">
        <v>6</v>
      </c>
      <c r="C30" s="202" t="s">
        <v>108</v>
      </c>
      <c r="D30" s="202"/>
      <c r="E30" s="60">
        <f>(((DIAS_LICENCA_MATERNIDADE/DIAS_NO_MES)/MESES_NO_ANO)*PERC_NASCIDOS_VIVOS_POPUL_FEM%*PERC_PARTIC_FEM_VIGIL%*PERC_GPS_FGTS%*100)</f>
        <v>0.04</v>
      </c>
      <c r="F30" s="60" t="s">
        <v>219</v>
      </c>
    </row>
    <row r="31" spans="2:6" s="99" customFormat="1" x14ac:dyDescent="0.15">
      <c r="B31" s="2" t="s">
        <v>7</v>
      </c>
      <c r="C31" s="203" t="str">
        <f>OUTRAS_AUSENCIAS_DESCRICAO</f>
        <v>Outras Ausências (Especificar - em %)</v>
      </c>
      <c r="D31" s="203"/>
      <c r="E31" s="49">
        <f>PERC_SUBSTITUTO_OUTRAS_AUSENCIAS</f>
        <v>0</v>
      </c>
      <c r="F31" s="42"/>
    </row>
    <row r="33" spans="2:6" ht="20.25" x14ac:dyDescent="0.3">
      <c r="B33" s="37" t="s">
        <v>203</v>
      </c>
    </row>
    <row r="34" spans="2:6" ht="37.5" customHeight="1" x14ac:dyDescent="0.3">
      <c r="B34" s="173" t="s">
        <v>221</v>
      </c>
      <c r="C34" s="173"/>
      <c r="D34" s="173"/>
      <c r="E34" s="173"/>
      <c r="F34" s="173"/>
    </row>
  </sheetData>
  <sheetProtection sheet="1" objects="1" scenarios="1"/>
  <mergeCells count="25">
    <mergeCell ref="B34:F34"/>
    <mergeCell ref="B7:F7"/>
    <mergeCell ref="C29:D29"/>
    <mergeCell ref="C30:D30"/>
    <mergeCell ref="C22:D22"/>
    <mergeCell ref="C25:D25"/>
    <mergeCell ref="C26:D26"/>
    <mergeCell ref="C21:D21"/>
    <mergeCell ref="C16:D16"/>
    <mergeCell ref="B17:D17"/>
    <mergeCell ref="C28:D28"/>
    <mergeCell ref="C31:D31"/>
    <mergeCell ref="C8:D8"/>
    <mergeCell ref="C9:D9"/>
    <mergeCell ref="C20:D20"/>
    <mergeCell ref="C12:D12"/>
    <mergeCell ref="C13:D13"/>
    <mergeCell ref="C14:D14"/>
    <mergeCell ref="C15:D15"/>
    <mergeCell ref="C19:D19"/>
    <mergeCell ref="C4:D4"/>
    <mergeCell ref="C5:D5"/>
    <mergeCell ref="C6:D6"/>
    <mergeCell ref="C10:D10"/>
    <mergeCell ref="C11:D11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23" bottom="0.08" header="0.31496062000000002" footer="0.06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03"/>
  <sheetViews>
    <sheetView topLeftCell="A85" zoomScaleNormal="100" zoomScaleSheetLayoutView="100" workbookViewId="0">
      <selection activeCell="H104" sqref="H104"/>
    </sheetView>
  </sheetViews>
  <sheetFormatPr defaultColWidth="9.140625" defaultRowHeight="16.5" x14ac:dyDescent="0.3"/>
  <cols>
    <col min="1" max="1" width="2.7109375" style="17" customWidth="1"/>
    <col min="2" max="2" width="8.85546875" style="17" customWidth="1"/>
    <col min="3" max="3" width="52.5703125" style="23" customWidth="1"/>
    <col min="4" max="4" width="7.85546875" style="23" customWidth="1"/>
    <col min="5" max="5" width="13.5703125" style="23" customWidth="1"/>
    <col min="6" max="6" width="15.42578125" style="23" bestFit="1" customWidth="1"/>
    <col min="7" max="7" width="9.140625" style="17"/>
    <col min="8" max="8" width="65.28515625" style="17" customWidth="1"/>
    <col min="9" max="10" width="12.5703125" style="17" bestFit="1" customWidth="1"/>
    <col min="11" max="16384" width="9.140625" style="17"/>
  </cols>
  <sheetData>
    <row r="1" spans="2:6" ht="20.25" x14ac:dyDescent="0.35">
      <c r="B1" s="217" t="str">
        <f>RAMO</f>
        <v xml:space="preserve">RAMO: CONSELHO NACIONAL DO MINISTÉRIO PÚBLICO </v>
      </c>
      <c r="C1" s="218"/>
      <c r="D1" s="218"/>
      <c r="E1" s="218"/>
      <c r="F1" s="219"/>
    </row>
    <row r="2" spans="2:6" ht="20.25" x14ac:dyDescent="0.35">
      <c r="B2" s="220" t="str">
        <f>UG</f>
        <v>UNIDADE GESTORA (SIGLA): CNMP</v>
      </c>
      <c r="C2" s="221"/>
      <c r="D2" s="222"/>
      <c r="E2" s="114" t="s">
        <v>58</v>
      </c>
      <c r="F2" s="115" t="str">
        <f>DATA_DO_ORCAMENTO_ESTIMATIVO</f>
        <v>XX/XX/20XX</v>
      </c>
    </row>
    <row r="3" spans="2:6" s="99" customFormat="1" ht="25.5" x14ac:dyDescent="0.5">
      <c r="B3" s="162" t="s">
        <v>56</v>
      </c>
      <c r="C3" s="162"/>
      <c r="D3" s="162"/>
      <c r="E3" s="162"/>
      <c r="F3" s="162"/>
    </row>
    <row r="4" spans="2:6" s="99" customFormat="1" ht="15.95" customHeight="1" x14ac:dyDescent="0.3">
      <c r="B4" s="148" t="s">
        <v>97</v>
      </c>
      <c r="C4" s="148"/>
      <c r="D4" s="148"/>
      <c r="E4" s="148"/>
      <c r="F4" s="148"/>
    </row>
    <row r="5" spans="2:6" s="99" customFormat="1" ht="15.95" customHeight="1" x14ac:dyDescent="0.3">
      <c r="B5" s="146" t="s">
        <v>222</v>
      </c>
      <c r="C5" s="146"/>
      <c r="D5" s="223" t="str">
        <f>NUMERO_PROCESSO</f>
        <v>19.00.6181.0002269/2021-75</v>
      </c>
      <c r="E5" s="223"/>
      <c r="F5" s="223"/>
    </row>
    <row r="6" spans="2:6" s="99" customFormat="1" ht="15.75" customHeight="1" x14ac:dyDescent="0.3">
      <c r="B6" s="172" t="s">
        <v>223</v>
      </c>
      <c r="C6" s="172"/>
      <c r="D6" s="224" t="str">
        <f>MODALIDADE_DE_LICITACAO</f>
        <v>Pregão nº</v>
      </c>
      <c r="E6" s="224"/>
      <c r="F6" s="119" t="str">
        <f>NUMERO_PREGAO</f>
        <v>XX/20XX</v>
      </c>
    </row>
    <row r="7" spans="2:6" s="100" customFormat="1" ht="15.75" customHeight="1" x14ac:dyDescent="0.3">
      <c r="B7" s="225" t="s">
        <v>59</v>
      </c>
      <c r="C7" s="225"/>
      <c r="D7" s="225"/>
      <c r="E7" s="225"/>
      <c r="F7" s="225"/>
    </row>
    <row r="8" spans="2:6" s="99" customFormat="1" ht="18" customHeight="1" x14ac:dyDescent="0.3">
      <c r="B8" s="29" t="s">
        <v>2</v>
      </c>
      <c r="C8" s="146" t="s">
        <v>64</v>
      </c>
      <c r="D8" s="146"/>
      <c r="E8" s="146"/>
      <c r="F8" s="120" t="str">
        <f>DATA_APRESENTACAO_PROPOSTA</f>
        <v>XX/XX/20XX</v>
      </c>
    </row>
    <row r="9" spans="2:6" s="99" customFormat="1" ht="15.95" customHeight="1" x14ac:dyDescent="0.15">
      <c r="B9" s="1" t="s">
        <v>3</v>
      </c>
      <c r="C9" s="67" t="s">
        <v>38</v>
      </c>
      <c r="D9" s="234" t="str">
        <f>IF(LOCAL_DE_EXECUCAO="","",LOCAL_DE_EXECUCAO)</f>
        <v/>
      </c>
      <c r="E9" s="234"/>
      <c r="F9" s="234"/>
    </row>
    <row r="10" spans="2:6" s="99" customFormat="1" ht="18.75" customHeight="1" x14ac:dyDescent="0.3">
      <c r="B10" s="29" t="s">
        <v>4</v>
      </c>
      <c r="C10" s="146" t="s">
        <v>39</v>
      </c>
      <c r="D10" s="146"/>
      <c r="E10" s="146"/>
      <c r="F10" s="121" t="str">
        <f>ACORDO_COLETIVO</f>
        <v>01/2021</v>
      </c>
    </row>
    <row r="11" spans="2:6" s="99" customFormat="1" ht="15.95" customHeight="1" x14ac:dyDescent="0.3">
      <c r="B11" s="1" t="s">
        <v>5</v>
      </c>
      <c r="C11" s="234" t="s">
        <v>65</v>
      </c>
      <c r="D11" s="234"/>
      <c r="E11" s="234"/>
      <c r="F11" s="122">
        <f>NUMERO_MESES_EXEC_CONTRATUAL</f>
        <v>12</v>
      </c>
    </row>
    <row r="12" spans="2:6" s="99" customFormat="1" x14ac:dyDescent="0.3">
      <c r="B12" s="1" t="s">
        <v>6</v>
      </c>
      <c r="C12" s="235" t="s">
        <v>85</v>
      </c>
      <c r="D12" s="235"/>
      <c r="E12" s="235"/>
      <c r="F12" s="103">
        <f>IF(QTDE_DE_POSTOS_12X36_DIU=0,"",QTDE_DE_POSTOS_12X36_DIU)</f>
        <v>2</v>
      </c>
    </row>
    <row r="13" spans="2:6" s="99" customFormat="1" ht="7.5" customHeight="1" x14ac:dyDescent="0.3">
      <c r="B13" s="123"/>
      <c r="C13" s="124"/>
      <c r="D13" s="124"/>
      <c r="E13" s="124"/>
      <c r="F13" s="105"/>
    </row>
    <row r="14" spans="2:6" s="99" customFormat="1" ht="21" customHeight="1" x14ac:dyDescent="0.5">
      <c r="B14" s="107" t="s">
        <v>206</v>
      </c>
      <c r="C14" s="17"/>
      <c r="D14" s="17"/>
      <c r="E14" s="17"/>
      <c r="F14" s="17"/>
    </row>
    <row r="15" spans="2:6" s="99" customFormat="1" x14ac:dyDescent="0.3">
      <c r="B15" s="29">
        <v>1</v>
      </c>
      <c r="C15" s="155" t="s">
        <v>61</v>
      </c>
      <c r="D15" s="155"/>
      <c r="E15" s="154" t="str">
        <f>TIPO_DE_SERVICO</f>
        <v>Brigadista</v>
      </c>
      <c r="F15" s="154"/>
    </row>
    <row r="16" spans="2:6" s="100" customFormat="1" x14ac:dyDescent="0.3">
      <c r="B16" s="29">
        <v>2</v>
      </c>
      <c r="C16" s="31" t="s">
        <v>60</v>
      </c>
      <c r="D16" s="153">
        <f>CBO</f>
        <v>0</v>
      </c>
      <c r="E16" s="153"/>
      <c r="F16" s="153"/>
    </row>
    <row r="17" spans="2:6" s="99" customFormat="1" ht="15" customHeight="1" x14ac:dyDescent="0.3">
      <c r="B17" s="29">
        <v>3</v>
      </c>
      <c r="C17" s="57" t="s">
        <v>62</v>
      </c>
      <c r="D17" s="154" t="str">
        <f>CATEGORIA_PROFISSIONAL</f>
        <v>Bombeiro Civil</v>
      </c>
      <c r="E17" s="154"/>
      <c r="F17" s="154"/>
    </row>
    <row r="18" spans="2:6" s="99" customFormat="1" ht="15" customHeight="1" x14ac:dyDescent="0.3">
      <c r="B18" s="29">
        <v>4</v>
      </c>
      <c r="C18" s="156" t="s">
        <v>63</v>
      </c>
      <c r="D18" s="156"/>
      <c r="E18" s="156"/>
      <c r="F18" s="136">
        <f>DATA_BASE_CATEGORIA</f>
        <v>44197</v>
      </c>
    </row>
    <row r="19" spans="2:6" s="99" customFormat="1" ht="15" customHeight="1" x14ac:dyDescent="0.3">
      <c r="B19" s="32"/>
      <c r="C19" s="33"/>
      <c r="D19" s="33"/>
      <c r="E19" s="33"/>
      <c r="F19" s="106"/>
    </row>
    <row r="20" spans="2:6" s="125" customFormat="1" ht="30" customHeight="1" x14ac:dyDescent="0.3">
      <c r="B20" s="226" t="s">
        <v>42</v>
      </c>
      <c r="C20" s="226"/>
      <c r="D20" s="226"/>
      <c r="E20" s="226"/>
      <c r="F20" s="226"/>
    </row>
    <row r="21" spans="2:6" x14ac:dyDescent="0.3">
      <c r="B21" s="195" t="s">
        <v>54</v>
      </c>
      <c r="C21" s="195"/>
      <c r="D21" s="195"/>
      <c r="E21" s="195"/>
      <c r="F21" s="118">
        <v>2</v>
      </c>
    </row>
    <row r="22" spans="2:6" x14ac:dyDescent="0.3">
      <c r="B22" s="54" t="s">
        <v>8</v>
      </c>
      <c r="E22" s="18"/>
      <c r="F22" s="18"/>
    </row>
    <row r="23" spans="2:6" x14ac:dyDescent="0.3">
      <c r="B23" s="1">
        <v>1</v>
      </c>
      <c r="C23" s="197" t="s">
        <v>9</v>
      </c>
      <c r="D23" s="227"/>
      <c r="E23" s="198"/>
      <c r="F23" s="5" t="s">
        <v>13</v>
      </c>
    </row>
    <row r="24" spans="2:6" x14ac:dyDescent="0.3">
      <c r="B24" s="1" t="s">
        <v>2</v>
      </c>
      <c r="C24" s="214" t="s">
        <v>92</v>
      </c>
      <c r="D24" s="215"/>
      <c r="E24" s="216"/>
      <c r="F24" s="58">
        <f>SALARIO_BASE</f>
        <v>3044.5</v>
      </c>
    </row>
    <row r="25" spans="2:6" x14ac:dyDescent="0.3">
      <c r="B25" s="1" t="s">
        <v>3</v>
      </c>
      <c r="C25" s="143" t="s">
        <v>94</v>
      </c>
      <c r="D25" s="144"/>
      <c r="E25" s="145"/>
      <c r="F25" s="14">
        <f>PERC_ADIC_PERIC%*SALARIO_BASE</f>
        <v>913.35</v>
      </c>
    </row>
    <row r="26" spans="2:6" x14ac:dyDescent="0.3">
      <c r="B26" s="1" t="s">
        <v>4</v>
      </c>
      <c r="C26" s="214" t="str">
        <f>OUTROS_REMUNERACAO_1_DESCRICAO</f>
        <v>Hora extra folga da Lei 11.911/2009</v>
      </c>
      <c r="D26" s="215"/>
      <c r="E26" s="216"/>
      <c r="F26" s="58">
        <f>OUTROS_REMUNERACAO_1</f>
        <v>323.82</v>
      </c>
    </row>
    <row r="27" spans="2:6" x14ac:dyDescent="0.3">
      <c r="B27" s="1" t="s">
        <v>5</v>
      </c>
      <c r="C27" s="231" t="str">
        <f>OUTROS_REMUNERACAO_2_DESCRICAO</f>
        <v>Outras Remunerações 2 (Especificar)</v>
      </c>
      <c r="D27" s="232"/>
      <c r="E27" s="233"/>
      <c r="F27" s="14">
        <f>OUTROS_REMUNERACAO_2</f>
        <v>0</v>
      </c>
    </row>
    <row r="28" spans="2:6" x14ac:dyDescent="0.3">
      <c r="B28" s="1" t="s">
        <v>6</v>
      </c>
      <c r="C28" s="214" t="str">
        <f>OUTROS_REMUNERACAO_3_DESCRICAO</f>
        <v>Outras Remunerações 3 (Especificar)</v>
      </c>
      <c r="D28" s="215"/>
      <c r="E28" s="216"/>
      <c r="F28" s="58">
        <f>OUTROS_REMUNERACAO_3</f>
        <v>0</v>
      </c>
    </row>
    <row r="29" spans="2:6" x14ac:dyDescent="0.3">
      <c r="B29" s="184" t="s">
        <v>48</v>
      </c>
      <c r="C29" s="185"/>
      <c r="D29" s="185"/>
      <c r="E29" s="186"/>
      <c r="F29" s="44">
        <f>SUM(F24:F28)</f>
        <v>4281.67</v>
      </c>
    </row>
    <row r="30" spans="2:6" x14ac:dyDescent="0.3">
      <c r="B30" s="54" t="s">
        <v>66</v>
      </c>
      <c r="E30" s="25"/>
      <c r="F30" s="25"/>
    </row>
    <row r="31" spans="2:6" x14ac:dyDescent="0.3">
      <c r="B31" s="54" t="s">
        <v>110</v>
      </c>
      <c r="C31" s="16"/>
      <c r="D31" s="26"/>
      <c r="E31" s="24"/>
      <c r="F31" s="24"/>
    </row>
    <row r="32" spans="2:6" x14ac:dyDescent="0.3">
      <c r="B32" s="1" t="s">
        <v>67</v>
      </c>
      <c r="C32" s="184" t="s">
        <v>93</v>
      </c>
      <c r="D32" s="186"/>
      <c r="E32" s="5" t="s">
        <v>1</v>
      </c>
      <c r="F32" s="5" t="s">
        <v>13</v>
      </c>
    </row>
    <row r="33" spans="2:8" x14ac:dyDescent="0.3">
      <c r="B33" s="1" t="s">
        <v>2</v>
      </c>
      <c r="C33" s="214" t="s">
        <v>49</v>
      </c>
      <c r="D33" s="215"/>
      <c r="E33" s="60">
        <f>PERC_DEC_TERC</f>
        <v>8.33</v>
      </c>
      <c r="F33" s="59">
        <f>PERC_DEC_TERC%*MOD_1_REMUNERACAO_12X36_DIU</f>
        <v>356.66</v>
      </c>
    </row>
    <row r="34" spans="2:8" s="21" customFormat="1" x14ac:dyDescent="0.3">
      <c r="B34" s="2" t="s">
        <v>3</v>
      </c>
      <c r="C34" s="143" t="s">
        <v>95</v>
      </c>
      <c r="D34" s="145"/>
      <c r="E34" s="42">
        <f>PERC_ADIC_FERIAS</f>
        <v>2.78</v>
      </c>
      <c r="F34" s="40">
        <f>PERC_ADIC_FERIAS%*MOD_1_REMUNERACAO_12X36_DIU</f>
        <v>119.03</v>
      </c>
    </row>
    <row r="35" spans="2:8" s="108" customFormat="1" x14ac:dyDescent="0.3">
      <c r="B35" s="184" t="s">
        <v>48</v>
      </c>
      <c r="C35" s="185"/>
      <c r="D35" s="185"/>
      <c r="E35" s="186"/>
      <c r="F35" s="45">
        <f>SUM(F33:F34)</f>
        <v>475.69</v>
      </c>
    </row>
    <row r="36" spans="2:8" s="108" customFormat="1" ht="31.5" customHeight="1" x14ac:dyDescent="0.3">
      <c r="B36" s="228" t="s">
        <v>68</v>
      </c>
      <c r="C36" s="228"/>
      <c r="D36" s="228"/>
      <c r="E36" s="228"/>
      <c r="F36" s="228"/>
    </row>
    <row r="37" spans="2:8" s="108" customFormat="1" ht="34.5" customHeight="1" x14ac:dyDescent="0.3">
      <c r="B37" s="1" t="s">
        <v>69</v>
      </c>
      <c r="C37" s="229" t="s">
        <v>96</v>
      </c>
      <c r="D37" s="230"/>
      <c r="E37" s="5" t="s">
        <v>1</v>
      </c>
      <c r="F37" s="5" t="s">
        <v>13</v>
      </c>
    </row>
    <row r="38" spans="2:8" x14ac:dyDescent="0.3">
      <c r="B38" s="1" t="s">
        <v>2</v>
      </c>
      <c r="C38" s="214" t="s">
        <v>43</v>
      </c>
      <c r="D38" s="215"/>
      <c r="E38" s="60">
        <f>PERC_INSS</f>
        <v>20</v>
      </c>
      <c r="F38" s="59">
        <f>PERC_INSS%*(MOD_1_REMUNERACAO_12X36_DIU+SUBMOD_2_1_DEC_TERC_ADIC_FERIAS_12X36_DIU)</f>
        <v>951.47</v>
      </c>
    </row>
    <row r="39" spans="2:8" s="99" customFormat="1" x14ac:dyDescent="0.3">
      <c r="B39" s="2" t="s">
        <v>3</v>
      </c>
      <c r="C39" s="143" t="s">
        <v>45</v>
      </c>
      <c r="D39" s="145"/>
      <c r="E39" s="49">
        <f>PERC_SAL_EDUCACAO</f>
        <v>2.5</v>
      </c>
      <c r="F39" s="40">
        <f>PERC_SAL_EDUCACAO%*(MOD_1_REMUNERACAO_12X36_DIU+SUBMOD_2_1_DEC_TERC_ADIC_FERIAS_12X36_DIU)</f>
        <v>118.93</v>
      </c>
      <c r="G39" s="17"/>
      <c r="H39" s="17"/>
    </row>
    <row r="40" spans="2:8" s="99" customFormat="1" x14ac:dyDescent="0.3">
      <c r="B40" s="2" t="s">
        <v>4</v>
      </c>
      <c r="C40" s="214" t="s">
        <v>89</v>
      </c>
      <c r="D40" s="215"/>
      <c r="E40" s="60">
        <f>PERC_RAT</f>
        <v>3</v>
      </c>
      <c r="F40" s="59">
        <f>PERC_RAT%*(MOD_1_REMUNERACAO_12X36_DIU+SUBMOD_2_1_DEC_TERC_ADIC_FERIAS_12X36_DIU)</f>
        <v>142.72</v>
      </c>
      <c r="G40" s="17"/>
      <c r="H40" s="17"/>
    </row>
    <row r="41" spans="2:8" s="99" customFormat="1" x14ac:dyDescent="0.3">
      <c r="B41" s="2" t="s">
        <v>5</v>
      </c>
      <c r="C41" s="143" t="s">
        <v>87</v>
      </c>
      <c r="D41" s="145"/>
      <c r="E41" s="42">
        <f>PERC_SESC</f>
        <v>1.5</v>
      </c>
      <c r="F41" s="40">
        <f>PERC_SESC%*(MOD_1_REMUNERACAO_12X36_DIU+SUBMOD_2_1_DEC_TERC_ADIC_FERIAS_12X36_DIU)</f>
        <v>71.36</v>
      </c>
      <c r="G41" s="17"/>
      <c r="H41" s="17"/>
    </row>
    <row r="42" spans="2:8" s="99" customFormat="1" x14ac:dyDescent="0.3">
      <c r="B42" s="2" t="s">
        <v>6</v>
      </c>
      <c r="C42" s="214" t="s">
        <v>88</v>
      </c>
      <c r="D42" s="215"/>
      <c r="E42" s="60">
        <f>PERC_SENAC</f>
        <v>1</v>
      </c>
      <c r="F42" s="59">
        <f>PERC_SENAC%*(MOD_1_REMUNERACAO_12X36_DIU+SUBMOD_2_1_DEC_TERC_ADIC_FERIAS_12X36_DIU)</f>
        <v>47.57</v>
      </c>
      <c r="G42" s="17"/>
      <c r="H42" s="17"/>
    </row>
    <row r="43" spans="2:8" s="100" customFormat="1" x14ac:dyDescent="0.3">
      <c r="B43" s="2" t="s">
        <v>7</v>
      </c>
      <c r="C43" s="143" t="s">
        <v>47</v>
      </c>
      <c r="D43" s="145"/>
      <c r="E43" s="49">
        <f>PERC_SEBRAE</f>
        <v>0.6</v>
      </c>
      <c r="F43" s="40">
        <f>PERC_SEBRAE%*(MOD_1_REMUNERACAO_12X36_DIU+SUBMOD_2_1_DEC_TERC_ADIC_FERIAS_12X36_DIU)</f>
        <v>28.54</v>
      </c>
      <c r="G43" s="17"/>
      <c r="H43" s="17"/>
    </row>
    <row r="44" spans="2:8" s="100" customFormat="1" x14ac:dyDescent="0.3">
      <c r="B44" s="2" t="s">
        <v>10</v>
      </c>
      <c r="C44" s="214" t="s">
        <v>44</v>
      </c>
      <c r="D44" s="215"/>
      <c r="E44" s="60">
        <f>PERC_INCRA</f>
        <v>0.2</v>
      </c>
      <c r="F44" s="59">
        <f>PERC_INCRA%*(MOD_1_REMUNERACAO_12X36_DIU+SUBMOD_2_1_DEC_TERC_ADIC_FERIAS_12X36_DIU)</f>
        <v>9.51</v>
      </c>
      <c r="G44" s="17"/>
      <c r="H44" s="17"/>
    </row>
    <row r="45" spans="2:8" x14ac:dyDescent="0.3">
      <c r="B45" s="2" t="s">
        <v>11</v>
      </c>
      <c r="C45" s="143" t="s">
        <v>46</v>
      </c>
      <c r="D45" s="145"/>
      <c r="E45" s="49">
        <f>PERC_FGTS</f>
        <v>8</v>
      </c>
      <c r="F45" s="40">
        <f>PERC_FGTS%*(MOD_1_REMUNERACAO_12X36_DIU+SUBMOD_2_1_DEC_TERC_ADIC_FERIAS_12X36_DIU)</f>
        <v>380.59</v>
      </c>
    </row>
    <row r="46" spans="2:8" x14ac:dyDescent="0.3">
      <c r="B46" s="184" t="s">
        <v>48</v>
      </c>
      <c r="C46" s="185"/>
      <c r="D46" s="185"/>
      <c r="E46" s="186"/>
      <c r="F46" s="46">
        <f>SUM(F38:F45)</f>
        <v>1750.69</v>
      </c>
    </row>
    <row r="47" spans="2:8" ht="15.75" customHeight="1" x14ac:dyDescent="0.3">
      <c r="B47" s="54" t="s">
        <v>71</v>
      </c>
      <c r="C47" s="100"/>
      <c r="D47" s="100"/>
      <c r="E47" s="100"/>
      <c r="F47" s="100"/>
    </row>
    <row r="48" spans="2:8" ht="15.75" customHeight="1" x14ac:dyDescent="0.3">
      <c r="B48" s="1" t="s">
        <v>90</v>
      </c>
      <c r="C48" s="184" t="s">
        <v>14</v>
      </c>
      <c r="D48" s="185"/>
      <c r="E48" s="186"/>
      <c r="F48" s="5" t="s">
        <v>13</v>
      </c>
    </row>
    <row r="49" spans="2:7" x14ac:dyDescent="0.3">
      <c r="B49" s="29" t="s">
        <v>2</v>
      </c>
      <c r="C49" s="214" t="s">
        <v>15</v>
      </c>
      <c r="D49" s="215"/>
      <c r="E49" s="216"/>
      <c r="F49" s="59">
        <f>IF(((TRANSPORTE_POR_DIA*DIAS_TRABALHADOS_NO_MES_12X36)-(PERC_DESC_TRANSP_REMUNERACAO%*(AL_1_A_SAL_BASE_12X36_DIU/2)))&gt;0,((TRANSPORTE_POR_DIA*DIAS_TRABALHADOS_NO_MES_12X36)-(PERC_DESC_TRANSP_REMUNERACAO%*(AL_1_A_SAL_BASE_12X36_DIU/2))),0)</f>
        <v>73.67</v>
      </c>
    </row>
    <row r="50" spans="2:7" s="108" customFormat="1" x14ac:dyDescent="0.3">
      <c r="B50" s="29" t="s">
        <v>3</v>
      </c>
      <c r="C50" s="143" t="s">
        <v>70</v>
      </c>
      <c r="D50" s="144"/>
      <c r="E50" s="145"/>
      <c r="F50" s="40">
        <f>ALIMENTACAO_POR_DIA*DIAS_TRABALHADOS_NO_MES_12X36</f>
        <v>565.5</v>
      </c>
      <c r="G50" s="17"/>
    </row>
    <row r="51" spans="2:7" s="108" customFormat="1" x14ac:dyDescent="0.3">
      <c r="B51" s="29" t="s">
        <v>4</v>
      </c>
      <c r="C51" s="214" t="str">
        <f>OUTROS_BENEFICIOS_1_DESCRICAO</f>
        <v>Seguro de vida</v>
      </c>
      <c r="D51" s="215"/>
      <c r="E51" s="216"/>
      <c r="F51" s="59">
        <f>OUTROS_BENEFICIOS_1</f>
        <v>0</v>
      </c>
      <c r="G51" s="17"/>
    </row>
    <row r="52" spans="2:7" s="108" customFormat="1" x14ac:dyDescent="0.3">
      <c r="B52" s="29" t="s">
        <v>5</v>
      </c>
      <c r="C52" s="231" t="str">
        <f>OUTROS_BENEFICIOS_2_DESCRICAO</f>
        <v>Plano Ambulatorial</v>
      </c>
      <c r="D52" s="232"/>
      <c r="E52" s="233"/>
      <c r="F52" s="40">
        <f>OUTROS_BENEFICIOS_2</f>
        <v>0</v>
      </c>
      <c r="G52" s="17"/>
    </row>
    <row r="53" spans="2:7" s="108" customFormat="1" x14ac:dyDescent="0.3">
      <c r="B53" s="29" t="s">
        <v>6</v>
      </c>
      <c r="C53" s="214" t="str">
        <f>OUTROS_BENEFICIOS_3_DESCRICAO</f>
        <v>Seguro de vida em grupo</v>
      </c>
      <c r="D53" s="215"/>
      <c r="E53" s="216"/>
      <c r="F53" s="59">
        <f>OUTROS_BENEFICIOS_3</f>
        <v>0</v>
      </c>
    </row>
    <row r="54" spans="2:7" s="108" customFormat="1" ht="15" customHeight="1" x14ac:dyDescent="0.3">
      <c r="B54" s="184" t="s">
        <v>48</v>
      </c>
      <c r="C54" s="185"/>
      <c r="D54" s="185"/>
      <c r="E54" s="186"/>
      <c r="F54" s="44">
        <f>SUM(F49:F53)</f>
        <v>639.16999999999996</v>
      </c>
    </row>
    <row r="55" spans="2:7" s="108" customFormat="1" x14ac:dyDescent="0.3">
      <c r="B55" s="54" t="s">
        <v>72</v>
      </c>
      <c r="C55" s="16"/>
      <c r="D55" s="26"/>
      <c r="E55" s="24"/>
      <c r="F55" s="24"/>
    </row>
    <row r="56" spans="2:7" s="108" customFormat="1" ht="15" customHeight="1" x14ac:dyDescent="0.3">
      <c r="B56" s="1">
        <v>3</v>
      </c>
      <c r="C56" s="195" t="s">
        <v>50</v>
      </c>
      <c r="D56" s="195"/>
      <c r="E56" s="5" t="s">
        <v>1</v>
      </c>
      <c r="F56" s="5" t="s">
        <v>13</v>
      </c>
    </row>
    <row r="57" spans="2:7" s="108" customFormat="1" x14ac:dyDescent="0.3">
      <c r="B57" s="1" t="s">
        <v>2</v>
      </c>
      <c r="C57" s="205" t="s">
        <v>51</v>
      </c>
      <c r="D57" s="205"/>
      <c r="E57" s="60">
        <f>PERC_AVISO_PREVIO_IND</f>
        <v>0.28999999999999998</v>
      </c>
      <c r="F57" s="59">
        <f>PERC_AVISO_PREVIO_IND%*(MOD_1_REMUNERACAO_12X36_DIU+SUBMOD_2_1_DEC_TERC_ADIC_FERIAS_12X36_DIU+AL_2_2_FGTS_12X36_DIU+SUBMOD_2_3_BENEFICIOS_12X36_DIU)</f>
        <v>16.75</v>
      </c>
    </row>
    <row r="58" spans="2:7" s="108" customFormat="1" x14ac:dyDescent="0.3">
      <c r="B58" s="2" t="s">
        <v>3</v>
      </c>
      <c r="C58" s="207" t="s">
        <v>52</v>
      </c>
      <c r="D58" s="207"/>
      <c r="E58" s="49">
        <f>PERC_AVISO_PREVIO_TRAB</f>
        <v>1.1599999999999999</v>
      </c>
      <c r="F58" s="40">
        <f>PERC_AVISO_PREVIO_TRAB%*(MOD_1_REMUNERACAO_12X36_DIU+SUBMOD_2_1_DEC_TERC_ADIC_FERIAS_12X36_DIU+SUBMOD_2_2_GPS_FGTS_12X36_DIU+SUBMOD_2_3_BENEFICIOS_12X36_DIU)</f>
        <v>82.91</v>
      </c>
    </row>
    <row r="59" spans="2:7" s="99" customFormat="1" x14ac:dyDescent="0.15">
      <c r="B59" s="2" t="s">
        <v>4</v>
      </c>
      <c r="C59" s="205" t="s">
        <v>231</v>
      </c>
      <c r="D59" s="205"/>
      <c r="E59" s="60">
        <f>PERC_MULTA_FGTS_AV_PREV_TRAB</f>
        <v>0.04</v>
      </c>
      <c r="F59" s="59">
        <f>PERC_MULTA_FGTS_AV_PREV_TRAB%*(MOD_1_REMUNERACAO_12X36_DIU+SUBMOD_2_1_DEC_TERC_ADIC_FERIAS_12X36_DIU)</f>
        <v>1.9</v>
      </c>
    </row>
    <row r="60" spans="2:7" s="99" customFormat="1" x14ac:dyDescent="0.3">
      <c r="B60" s="184" t="s">
        <v>48</v>
      </c>
      <c r="C60" s="185"/>
      <c r="D60" s="185"/>
      <c r="E60" s="186"/>
      <c r="F60" s="45">
        <f>SUM(F57:F59)</f>
        <v>101.56</v>
      </c>
    </row>
    <row r="61" spans="2:7" ht="7.5" customHeight="1" x14ac:dyDescent="0.3">
      <c r="B61" s="20"/>
      <c r="C61" s="21"/>
      <c r="D61" s="22"/>
      <c r="E61" s="18"/>
      <c r="F61" s="18"/>
    </row>
    <row r="62" spans="2:7" s="99" customFormat="1" ht="15.95" customHeight="1" x14ac:dyDescent="0.3">
      <c r="B62" s="54" t="s">
        <v>73</v>
      </c>
      <c r="C62" s="16"/>
      <c r="D62" s="26"/>
      <c r="E62" s="17"/>
      <c r="F62" s="17"/>
    </row>
    <row r="63" spans="2:7" s="99" customFormat="1" ht="15.95" customHeight="1" x14ac:dyDescent="0.3">
      <c r="B63" s="54" t="s">
        <v>102</v>
      </c>
      <c r="C63" s="16"/>
      <c r="D63" s="26"/>
      <c r="E63" s="24"/>
      <c r="F63" s="24"/>
    </row>
    <row r="64" spans="2:7" s="99" customFormat="1" x14ac:dyDescent="0.15">
      <c r="B64" s="1" t="s">
        <v>20</v>
      </c>
      <c r="C64" s="206" t="s">
        <v>103</v>
      </c>
      <c r="D64" s="206"/>
      <c r="E64" s="5" t="s">
        <v>1</v>
      </c>
      <c r="F64" s="5" t="s">
        <v>13</v>
      </c>
    </row>
    <row r="65" spans="2:6" s="99" customFormat="1" ht="15.95" customHeight="1" x14ac:dyDescent="0.15">
      <c r="B65" s="2" t="s">
        <v>2</v>
      </c>
      <c r="C65" s="202" t="s">
        <v>104</v>
      </c>
      <c r="D65" s="202"/>
      <c r="E65" s="60">
        <f>PERC_SUBSTITUTO_FERIAS</f>
        <v>8.33</v>
      </c>
      <c r="F65" s="59">
        <f>PERC_SUBSTITUTO_FERIAS%*(MOD_1_REMUNERACAO_12X36_DIU+MOD_2_ENCARGOS_BENEFICIOS_12X36_DIU+MOD_3_PROVISAO_RESCISAO_12X36_DIU)</f>
        <v>603.82000000000005</v>
      </c>
    </row>
    <row r="66" spans="2:6" s="99" customFormat="1" ht="15.95" customHeight="1" x14ac:dyDescent="0.15">
      <c r="B66" s="2" t="s">
        <v>3</v>
      </c>
      <c r="C66" s="203" t="s">
        <v>105</v>
      </c>
      <c r="D66" s="203"/>
      <c r="E66" s="49">
        <f>PERC_SUBSTITUTO_AUSENCIAS_LEGAIS</f>
        <v>2.2200000000000002</v>
      </c>
      <c r="F66" s="40">
        <f>PERC_SUBSTITUTO_AUSENCIAS_LEGAIS%*(MOD_1_REMUNERACAO_12X36_DIU+MOD_2_ENCARGOS_BENEFICIOS_12X36_DIU+MOD_3_PROVISAO_RESCISAO_12X36_DIU)</f>
        <v>160.91999999999999</v>
      </c>
    </row>
    <row r="67" spans="2:6" s="99" customFormat="1" ht="15.95" customHeight="1" x14ac:dyDescent="0.15">
      <c r="B67" s="2" t="s">
        <v>4</v>
      </c>
      <c r="C67" s="202" t="s">
        <v>106</v>
      </c>
      <c r="D67" s="202"/>
      <c r="E67" s="60">
        <f>PERC_SUBSTITUTO_LICENCA_PATERNIDADE</f>
        <v>7.0000000000000007E-2</v>
      </c>
      <c r="F67" s="59">
        <f>PERC_SUBSTITUTO_LICENCA_PATERNIDADE%*(MOD_1_REMUNERACAO_12X36_DIU+MOD_2_ENCARGOS_BENEFICIOS_12X36_DIU+MOD_3_PROVISAO_RESCISAO_12X36_DIU)</f>
        <v>5.07</v>
      </c>
    </row>
    <row r="68" spans="2:6" s="99" customFormat="1" x14ac:dyDescent="0.15">
      <c r="B68" s="2" t="s">
        <v>5</v>
      </c>
      <c r="C68" s="203" t="s">
        <v>107</v>
      </c>
      <c r="D68" s="203"/>
      <c r="E68" s="49">
        <f>PERC_SUBSTITUTO_ACID_TRAB</f>
        <v>0.02</v>
      </c>
      <c r="F68" s="40">
        <f>PERC_SUBSTITUTO_ACID_TRAB%*(MOD_1_REMUNERACAO_12X36_DIU+MOD_2_ENCARGOS_BENEFICIOS_12X36_DIU+MOD_3_PROVISAO_RESCISAO_12X36_DIU)</f>
        <v>1.45</v>
      </c>
    </row>
    <row r="69" spans="2:6" s="99" customFormat="1" x14ac:dyDescent="0.15">
      <c r="B69" s="2" t="s">
        <v>6</v>
      </c>
      <c r="C69" s="202" t="s">
        <v>108</v>
      </c>
      <c r="D69" s="202"/>
      <c r="E69" s="60">
        <f>PERC_SUBSTITUTO_AFAST_MATERN</f>
        <v>0.04</v>
      </c>
      <c r="F69" s="59">
        <f>PERC_SUBSTITUTO_AFAST_MATERN%*(MOD_1_REMUNERACAO_12X36_DIU+MOD_2_ENCARGOS_BENEFICIOS_12X36_DIU+MOD_3_PROVISAO_RESCISAO_12X36_DIU)</f>
        <v>2.9</v>
      </c>
    </row>
    <row r="70" spans="2:6" s="99" customFormat="1" x14ac:dyDescent="0.15">
      <c r="B70" s="2" t="s">
        <v>7</v>
      </c>
      <c r="C70" s="212" t="str">
        <f>OUTRAS_AUSENCIAS_DESCRICAO</f>
        <v>Outras Ausências (Especificar - em %)</v>
      </c>
      <c r="D70" s="203"/>
      <c r="E70" s="56">
        <f>PERC_SUBSTITUTO_OUTRAS_AUSENCIAS</f>
        <v>0</v>
      </c>
      <c r="F70" s="40">
        <f>PERC_SUBSTITUTO_OUTRAS_AUSENCIAS%*(MOD_1_REMUNERACAO_12X36_DIU+MOD_2_ENCARGOS_BENEFICIOS_12X36_DIU+MOD_3_PROVISAO_RESCISAO_12X36_DIU)</f>
        <v>0</v>
      </c>
    </row>
    <row r="71" spans="2:6" s="99" customFormat="1" x14ac:dyDescent="0.3">
      <c r="B71" s="184" t="s">
        <v>48</v>
      </c>
      <c r="C71" s="185"/>
      <c r="D71" s="185"/>
      <c r="E71" s="186"/>
      <c r="F71" s="45">
        <f>SUM(F65:F70)</f>
        <v>774.16</v>
      </c>
    </row>
    <row r="72" spans="2:6" s="99" customFormat="1" ht="15" customHeight="1" x14ac:dyDescent="0.3">
      <c r="B72" s="54" t="s">
        <v>225</v>
      </c>
      <c r="C72" s="16"/>
      <c r="D72" s="26"/>
      <c r="E72" s="24"/>
      <c r="F72" s="24"/>
    </row>
    <row r="73" spans="2:6" s="99" customFormat="1" x14ac:dyDescent="0.15">
      <c r="B73" s="1" t="s">
        <v>21</v>
      </c>
      <c r="C73" s="195" t="s">
        <v>224</v>
      </c>
      <c r="D73" s="195"/>
      <c r="E73" s="195"/>
      <c r="F73" s="5" t="s">
        <v>13</v>
      </c>
    </row>
    <row r="74" spans="2:6" s="99" customFormat="1" x14ac:dyDescent="0.15">
      <c r="B74" s="1" t="s">
        <v>2</v>
      </c>
      <c r="C74" s="202" t="s">
        <v>109</v>
      </c>
      <c r="D74" s="202"/>
      <c r="E74" s="202"/>
      <c r="F74" s="58">
        <f>((MOD_1_REMUNERACAO_12X36_DIU+MOD_2_ENCARGOS_BENEFICIOS_12X36_DIU+MOD_3_PROVISAO_RESCISAO_12X36_DIU)/DIVISOR_DE_HORAS)*((TEMPO_INTERVALO_REFEICAO/HORA_NORMAL)+PERC_HORA_EXTRA%)*DIAS_TRABALHADOS_NO_MES_12X36</f>
        <v>0</v>
      </c>
    </row>
    <row r="75" spans="2:6" s="99" customFormat="1" x14ac:dyDescent="0.3">
      <c r="B75" s="195" t="s">
        <v>48</v>
      </c>
      <c r="C75" s="195"/>
      <c r="D75" s="195"/>
      <c r="E75" s="195"/>
      <c r="F75" s="45">
        <f>SUM(F74)</f>
        <v>0</v>
      </c>
    </row>
    <row r="76" spans="2:6" ht="7.5" customHeight="1" x14ac:dyDescent="0.3">
      <c r="B76" s="20"/>
      <c r="C76" s="21"/>
      <c r="D76" s="22"/>
      <c r="E76" s="18"/>
      <c r="F76" s="18"/>
    </row>
    <row r="77" spans="2:6" x14ac:dyDescent="0.3">
      <c r="B77" s="54" t="s">
        <v>77</v>
      </c>
      <c r="C77" s="16"/>
      <c r="D77" s="16"/>
      <c r="E77" s="24"/>
      <c r="F77" s="24"/>
    </row>
    <row r="78" spans="2:6" ht="15.75" customHeight="1" x14ac:dyDescent="0.3">
      <c r="B78" s="52">
        <v>5</v>
      </c>
      <c r="C78" s="187" t="s">
        <v>0</v>
      </c>
      <c r="D78" s="187"/>
      <c r="E78" s="187"/>
      <c r="F78" s="53" t="s">
        <v>13</v>
      </c>
    </row>
    <row r="79" spans="2:6" x14ac:dyDescent="0.3">
      <c r="B79" s="48" t="s">
        <v>2</v>
      </c>
      <c r="C79" s="188" t="s">
        <v>16</v>
      </c>
      <c r="D79" s="188"/>
      <c r="E79" s="188"/>
      <c r="F79" s="61">
        <f>UNIFORMES</f>
        <v>92.49</v>
      </c>
    </row>
    <row r="80" spans="2:6" x14ac:dyDescent="0.3">
      <c r="B80" s="48" t="s">
        <v>3</v>
      </c>
      <c r="C80" s="189" t="s">
        <v>18</v>
      </c>
      <c r="D80" s="189"/>
      <c r="E80" s="189"/>
      <c r="F80" s="50">
        <f>MATERIAIS</f>
        <v>0</v>
      </c>
    </row>
    <row r="81" spans="2:8" x14ac:dyDescent="0.3">
      <c r="B81" s="48" t="s">
        <v>4</v>
      </c>
      <c r="C81" s="188" t="s">
        <v>17</v>
      </c>
      <c r="D81" s="188"/>
      <c r="E81" s="188"/>
      <c r="F81" s="61">
        <f>EQUIPAMENTOS</f>
        <v>33.18</v>
      </c>
    </row>
    <row r="82" spans="2:8" x14ac:dyDescent="0.3">
      <c r="B82" s="48" t="s">
        <v>5</v>
      </c>
      <c r="C82" s="213" t="str">
        <f>OUTROS_INSUMOS_DESCRICAO</f>
        <v>Outros (especificar)</v>
      </c>
      <c r="D82" s="189"/>
      <c r="E82" s="189"/>
      <c r="F82" s="50">
        <f>OUTROS_INSUMOS</f>
        <v>0</v>
      </c>
    </row>
    <row r="83" spans="2:8" x14ac:dyDescent="0.3">
      <c r="B83" s="209" t="s">
        <v>48</v>
      </c>
      <c r="C83" s="209"/>
      <c r="D83" s="209"/>
      <c r="E83" s="209"/>
      <c r="F83" s="47">
        <f>SUM(F79:F82)</f>
        <v>125.67</v>
      </c>
    </row>
    <row r="84" spans="2:8" ht="7.5" customHeight="1" x14ac:dyDescent="0.3">
      <c r="B84" s="20"/>
      <c r="C84" s="21"/>
      <c r="D84" s="22"/>
      <c r="E84" s="18"/>
      <c r="F84" s="18"/>
    </row>
    <row r="85" spans="2:8" ht="15" customHeight="1" x14ac:dyDescent="0.3">
      <c r="B85" s="180" t="s">
        <v>76</v>
      </c>
      <c r="C85" s="180"/>
      <c r="D85" s="180"/>
      <c r="E85" s="180"/>
      <c r="F85" s="180"/>
    </row>
    <row r="86" spans="2:8" x14ac:dyDescent="0.3">
      <c r="B86" s="1">
        <v>6</v>
      </c>
      <c r="C86" s="195" t="s">
        <v>22</v>
      </c>
      <c r="D86" s="195"/>
      <c r="E86" s="5" t="s">
        <v>1</v>
      </c>
      <c r="F86" s="5" t="s">
        <v>13</v>
      </c>
    </row>
    <row r="87" spans="2:8" x14ac:dyDescent="0.3">
      <c r="B87" s="1" t="s">
        <v>2</v>
      </c>
      <c r="C87" s="202" t="s">
        <v>78</v>
      </c>
      <c r="D87" s="202"/>
      <c r="E87" s="62">
        <f>PERC_CUSTOS_INDIRETOS</f>
        <v>4.8499999999999996</v>
      </c>
      <c r="F87" s="59">
        <f>PERC_CUSTOS_INDIRETOS%*(MOD_1_REMUNERACAO_12X36_DIU+MOD_2_ENCARGOS_BENEFICIOS_12X36_DIU+MOD_3_PROVISAO_RESCISAO_12X36_DIU+MOD_4_CUSTO_REPOSICAO_12X36_DIU+MOD_5_INSUMOS_12X36_DIU)</f>
        <v>395.21</v>
      </c>
    </row>
    <row r="88" spans="2:8" ht="15.75" customHeight="1" x14ac:dyDescent="0.3">
      <c r="B88" s="2" t="s">
        <v>3</v>
      </c>
      <c r="C88" s="203" t="s">
        <v>34</v>
      </c>
      <c r="D88" s="203"/>
      <c r="E88" s="51">
        <f>PERC_LUCRO</f>
        <v>5.45</v>
      </c>
      <c r="F88" s="40">
        <f>PERC_LUCRO%*(MOD_1_REMUNERACAO_12X36_DIU+MOD_2_ENCARGOS_BENEFICIOS_12X36_DIU+MOD_3_PROVISAO_RESCISAO_12X36_DIU+MOD_4_CUSTO_REPOSICAO_12X36_DIU+MOD_5_INSUMOS_12X36_DIU+AL_6_A_CUSTOS_INDIRETOS_12X36_DIU)</f>
        <v>465.64</v>
      </c>
    </row>
    <row r="89" spans="2:8" x14ac:dyDescent="0.3">
      <c r="B89" s="2" t="s">
        <v>4</v>
      </c>
      <c r="C89" s="202" t="s">
        <v>23</v>
      </c>
      <c r="D89" s="202"/>
      <c r="E89" s="62">
        <f>SUM(E90:E92)</f>
        <v>8.65</v>
      </c>
      <c r="F89" s="59">
        <f>SUM(F90:F92)</f>
        <v>853.12</v>
      </c>
    </row>
    <row r="90" spans="2:8" ht="15.75" customHeight="1" x14ac:dyDescent="0.3">
      <c r="B90" s="34" t="s">
        <v>79</v>
      </c>
      <c r="C90" s="210" t="s">
        <v>25</v>
      </c>
      <c r="D90" s="210"/>
      <c r="E90" s="35">
        <f>PERC_PIS</f>
        <v>0.65</v>
      </c>
      <c r="F90" s="64">
        <f>((MOD_1_REMUNERACAO_12X36_DIU+MOD_2_ENCARGOS_BENEFICIOS_12X36_DIU+MOD_3_PROVISAO_RESCISAO_12X36_DIU+MOD_4_CUSTO_REPOSICAO_12X36_DIU+MOD_5_INSUMOS_12X36_DIU+AL_6_A_CUSTOS_INDIRETOS_12X36_DIU+AL_6_B_LUCRO_12X36_DIU)*PERC_PIS%)/(1-PERC_TRIBUTOS%)</f>
        <v>64.11</v>
      </c>
    </row>
    <row r="91" spans="2:8" x14ac:dyDescent="0.3">
      <c r="B91" s="34" t="s">
        <v>80</v>
      </c>
      <c r="C91" s="211" t="s">
        <v>26</v>
      </c>
      <c r="D91" s="211"/>
      <c r="E91" s="63">
        <f>PERC_COFINS</f>
        <v>3</v>
      </c>
      <c r="F91" s="65">
        <f>((MOD_1_REMUNERACAO_12X36_DIU+MOD_2_ENCARGOS_BENEFICIOS_12X36_DIU+MOD_3_PROVISAO_RESCISAO_12X36_DIU+MOD_4_CUSTO_REPOSICAO_12X36_DIU+MOD_5_INSUMOS_12X36_DIU+AL_6_A_CUSTOS_INDIRETOS_12X36_DIU+AL_6_B_LUCRO_12X36_DIU)*PERC_COFINS%)/(1-PERC_TRIBUTOS%)</f>
        <v>295.88</v>
      </c>
    </row>
    <row r="92" spans="2:8" s="109" customFormat="1" x14ac:dyDescent="0.3">
      <c r="B92" s="34" t="s">
        <v>81</v>
      </c>
      <c r="C92" s="210" t="s">
        <v>27</v>
      </c>
      <c r="D92" s="210"/>
      <c r="E92" s="35">
        <f>PERC_ISS</f>
        <v>5</v>
      </c>
      <c r="F92" s="64">
        <f>((MOD_1_REMUNERACAO_12X36_DIU+MOD_2_ENCARGOS_BENEFICIOS_12X36_DIU+MOD_3_PROVISAO_RESCISAO_12X36_DIU+MOD_4_CUSTO_REPOSICAO_12X36_DIU+MOD_5_INSUMOS_12X36_DIU+AL_6_A_CUSTOS_INDIRETOS_12X36_DIU+AL_6_B_LUCRO_12X36_DIU)*PERC_ISS%)/(1-PERC_TRIBUTOS%)</f>
        <v>493.13</v>
      </c>
      <c r="H92" s="17"/>
    </row>
    <row r="93" spans="2:8" s="109" customFormat="1" x14ac:dyDescent="0.3">
      <c r="B93" s="184" t="s">
        <v>48</v>
      </c>
      <c r="C93" s="185"/>
      <c r="D93" s="185"/>
      <c r="E93" s="186"/>
      <c r="F93" s="41">
        <f>AL_6_A_CUSTOS_INDIRETOS_12X36_DIU+AL_6_B_LUCRO_12X36_DIU+AL_6_C_TRIBUTOS_12X36_DIU</f>
        <v>1713.97</v>
      </c>
    </row>
    <row r="94" spans="2:8" s="109" customFormat="1" ht="20.25" x14ac:dyDescent="0.3">
      <c r="B94" s="55" t="s">
        <v>55</v>
      </c>
      <c r="C94" s="19"/>
      <c r="D94" s="19"/>
      <c r="E94" s="19"/>
      <c r="F94" s="27"/>
    </row>
    <row r="95" spans="2:8" s="110" customFormat="1" ht="16.5" customHeight="1" x14ac:dyDescent="0.3">
      <c r="B95" s="2" t="s">
        <v>98</v>
      </c>
      <c r="C95" s="191" t="s">
        <v>99</v>
      </c>
      <c r="D95" s="192"/>
      <c r="E95" s="193"/>
      <c r="F95" s="5" t="s">
        <v>19</v>
      </c>
      <c r="H95" s="129"/>
    </row>
    <row r="96" spans="2:8" s="109" customFormat="1" x14ac:dyDescent="0.3">
      <c r="B96" s="1">
        <v>1</v>
      </c>
      <c r="C96" s="202" t="s">
        <v>9</v>
      </c>
      <c r="D96" s="202"/>
      <c r="E96" s="202"/>
      <c r="F96" s="59">
        <f>MOD_1_REMUNERACAO_12X36_DIU</f>
        <v>4281.67</v>
      </c>
    </row>
    <row r="97" spans="2:8" s="111" customFormat="1" ht="16.5" customHeight="1" x14ac:dyDescent="0.3">
      <c r="B97" s="2">
        <v>2</v>
      </c>
      <c r="C97" s="203" t="s">
        <v>100</v>
      </c>
      <c r="D97" s="203"/>
      <c r="E97" s="203"/>
      <c r="F97" s="40">
        <f>MOD_2_ENCARGOS_BENEFICIOS_12X36_DIU</f>
        <v>2865.55</v>
      </c>
    </row>
    <row r="98" spans="2:8" s="111" customFormat="1" x14ac:dyDescent="0.3">
      <c r="B98" s="2">
        <v>3</v>
      </c>
      <c r="C98" s="202" t="s">
        <v>50</v>
      </c>
      <c r="D98" s="202"/>
      <c r="E98" s="202"/>
      <c r="F98" s="59">
        <f>MOD_3_PROVISAO_RESCISAO_12X36_DIU</f>
        <v>101.56</v>
      </c>
    </row>
    <row r="99" spans="2:8" s="111" customFormat="1" x14ac:dyDescent="0.3">
      <c r="B99" s="2">
        <v>4</v>
      </c>
      <c r="C99" s="203" t="s">
        <v>53</v>
      </c>
      <c r="D99" s="203"/>
      <c r="E99" s="203"/>
      <c r="F99" s="40">
        <f>MOD_4_CUSTO_REPOSICAO_12X36_DIU</f>
        <v>774.16</v>
      </c>
    </row>
    <row r="100" spans="2:8" s="111" customFormat="1" x14ac:dyDescent="0.3">
      <c r="B100" s="2">
        <v>5</v>
      </c>
      <c r="C100" s="202" t="s">
        <v>0</v>
      </c>
      <c r="D100" s="202"/>
      <c r="E100" s="202"/>
      <c r="F100" s="59">
        <f>MOD_5_INSUMOS_12X36_DIU</f>
        <v>125.67</v>
      </c>
    </row>
    <row r="101" spans="2:8" s="111" customFormat="1" x14ac:dyDescent="0.3">
      <c r="B101" s="2">
        <v>6</v>
      </c>
      <c r="C101" s="203" t="s">
        <v>22</v>
      </c>
      <c r="D101" s="203"/>
      <c r="E101" s="203"/>
      <c r="F101" s="40">
        <f>MOD_6_CUSTOS_IND_LUCRO_TRIB_12X36_DIU</f>
        <v>1713.97</v>
      </c>
    </row>
    <row r="102" spans="2:8" ht="16.5" customHeight="1" x14ac:dyDescent="0.3">
      <c r="B102" s="206" t="s">
        <v>101</v>
      </c>
      <c r="C102" s="206"/>
      <c r="D102" s="206"/>
      <c r="E102" s="206"/>
      <c r="F102" s="41">
        <f>SUM(F96:F101)</f>
        <v>9862.58</v>
      </c>
      <c r="H102" s="130"/>
    </row>
    <row r="103" spans="2:8" ht="16.5" customHeight="1" x14ac:dyDescent="0.3">
      <c r="B103" s="206" t="s">
        <v>31</v>
      </c>
      <c r="C103" s="206"/>
      <c r="D103" s="206"/>
      <c r="E103" s="206"/>
      <c r="F103" s="41">
        <f>VALOR_TOTAL_EMPREGADO_12x36_DIU*EMPREG_POR_POSTO_12X36_DIU</f>
        <v>19725.16</v>
      </c>
    </row>
  </sheetData>
  <sheetProtection sheet="1" objects="1" scenarios="1"/>
  <customSheetViews>
    <customSheetView guid="{E22B0E03-E710-4313-B9E5-0BFE52A7E677}" showPageBreaks="1" view="pageLayout">
      <selection activeCell="C22" sqref="C22:E22"/>
      <pageMargins left="0.15748031496062992" right="0.23622047244094491" top="0.27559055118110237" bottom="0.15748031496062992" header="0.23622047244094491" footer="0.15748031496062992"/>
      <printOptions horizontalCentered="1"/>
      <pageSetup paperSize="9" firstPageNumber="0" orientation="portrait" verticalDpi="300" r:id="rId1"/>
      <headerFooter alignWithMargins="0"/>
    </customSheetView>
  </customSheetViews>
  <mergeCells count="90">
    <mergeCell ref="B29:E29"/>
    <mergeCell ref="C52:E52"/>
    <mergeCell ref="C49:E49"/>
    <mergeCell ref="C50:E50"/>
    <mergeCell ref="C53:E53"/>
    <mergeCell ref="C40:D40"/>
    <mergeCell ref="C43:D43"/>
    <mergeCell ref="C44:D44"/>
    <mergeCell ref="C45:D45"/>
    <mergeCell ref="B46:E46"/>
    <mergeCell ref="C48:E48"/>
    <mergeCell ref="C41:D41"/>
    <mergeCell ref="C42:D42"/>
    <mergeCell ref="B3:F3"/>
    <mergeCell ref="B36:F36"/>
    <mergeCell ref="C37:D37"/>
    <mergeCell ref="C38:D38"/>
    <mergeCell ref="C39:D39"/>
    <mergeCell ref="C26:E26"/>
    <mergeCell ref="C32:D32"/>
    <mergeCell ref="C33:D33"/>
    <mergeCell ref="C34:D34"/>
    <mergeCell ref="B35:E35"/>
    <mergeCell ref="C28:E28"/>
    <mergeCell ref="C27:E27"/>
    <mergeCell ref="D9:F9"/>
    <mergeCell ref="C10:E10"/>
    <mergeCell ref="C11:E11"/>
    <mergeCell ref="C12:E12"/>
    <mergeCell ref="B1:F1"/>
    <mergeCell ref="B2:D2"/>
    <mergeCell ref="C24:E24"/>
    <mergeCell ref="C25:E25"/>
    <mergeCell ref="B4:F4"/>
    <mergeCell ref="B5:C5"/>
    <mergeCell ref="D5:F5"/>
    <mergeCell ref="B6:C6"/>
    <mergeCell ref="D6:E6"/>
    <mergeCell ref="B7:F7"/>
    <mergeCell ref="C8:E8"/>
    <mergeCell ref="D16:F16"/>
    <mergeCell ref="D17:F17"/>
    <mergeCell ref="C18:E18"/>
    <mergeCell ref="B20:F20"/>
    <mergeCell ref="C23:E23"/>
    <mergeCell ref="C15:D15"/>
    <mergeCell ref="E15:F15"/>
    <mergeCell ref="B21:E21"/>
    <mergeCell ref="C82:E82"/>
    <mergeCell ref="B54:E54"/>
    <mergeCell ref="B60:E60"/>
    <mergeCell ref="B71:E71"/>
    <mergeCell ref="C64:D64"/>
    <mergeCell ref="C65:D65"/>
    <mergeCell ref="C66:D66"/>
    <mergeCell ref="C67:D67"/>
    <mergeCell ref="C59:D59"/>
    <mergeCell ref="C58:D58"/>
    <mergeCell ref="C56:D56"/>
    <mergeCell ref="C57:D57"/>
    <mergeCell ref="C51:E51"/>
    <mergeCell ref="B75:E75"/>
    <mergeCell ref="C78:E78"/>
    <mergeCell ref="C79:E79"/>
    <mergeCell ref="C80:E80"/>
    <mergeCell ref="C81:E81"/>
    <mergeCell ref="C68:D68"/>
    <mergeCell ref="C69:D69"/>
    <mergeCell ref="C70:D70"/>
    <mergeCell ref="C73:E73"/>
    <mergeCell ref="C74:E74"/>
    <mergeCell ref="C95:E95"/>
    <mergeCell ref="C96:E96"/>
    <mergeCell ref="B83:E83"/>
    <mergeCell ref="B85:F85"/>
    <mergeCell ref="C86:D86"/>
    <mergeCell ref="C87:D87"/>
    <mergeCell ref="C88:D88"/>
    <mergeCell ref="C89:D89"/>
    <mergeCell ref="B93:E93"/>
    <mergeCell ref="C90:D90"/>
    <mergeCell ref="C91:D91"/>
    <mergeCell ref="C92:D92"/>
    <mergeCell ref="B102:E102"/>
    <mergeCell ref="B103:E103"/>
    <mergeCell ref="C97:E97"/>
    <mergeCell ref="C98:E98"/>
    <mergeCell ref="C99:E99"/>
    <mergeCell ref="C100:E100"/>
    <mergeCell ref="C101:E101"/>
  </mergeCells>
  <phoneticPr fontId="18" type="noConversion"/>
  <printOptions horizontalCentered="1"/>
  <pageMargins left="0.15748031496062992" right="0.23622047244094491" top="0.24" bottom="0.15748031496062992" header="0.23622047244094491" footer="0.15748031496062992"/>
  <pageSetup paperSize="9" firstPageNumber="0" orientation="portrait" verticalDpi="300" r:id="rId2"/>
  <headerFooter alignWithMargins="0"/>
  <ignoredErrors>
    <ignoredError sqref="C1:F1 F18 B3:F4 B7:F8 B2:F2 B10:F11 B9:C9 B12:E12 C6:F6 C5:F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103"/>
  <sheetViews>
    <sheetView topLeftCell="A85" zoomScaleNormal="100" zoomScaleSheetLayoutView="100" workbookViewId="0">
      <selection activeCell="L48" sqref="L48"/>
    </sheetView>
  </sheetViews>
  <sheetFormatPr defaultColWidth="9.140625" defaultRowHeight="16.5" x14ac:dyDescent="0.3"/>
  <cols>
    <col min="1" max="1" width="2.7109375" style="17" customWidth="1"/>
    <col min="2" max="2" width="8.85546875" style="17" customWidth="1"/>
    <col min="3" max="3" width="52.5703125" style="23" customWidth="1"/>
    <col min="4" max="4" width="7.85546875" style="23" customWidth="1"/>
    <col min="5" max="5" width="13.5703125" style="23" customWidth="1"/>
    <col min="6" max="6" width="15.42578125" style="23" bestFit="1" customWidth="1"/>
    <col min="7" max="16384" width="9.140625" style="17"/>
  </cols>
  <sheetData>
    <row r="1" spans="2:6" ht="20.25" x14ac:dyDescent="0.35">
      <c r="B1" s="217" t="str">
        <f>RAMO</f>
        <v xml:space="preserve">RAMO: CONSELHO NACIONAL DO MINISTÉRIO PÚBLICO </v>
      </c>
      <c r="C1" s="218"/>
      <c r="D1" s="218"/>
      <c r="E1" s="218"/>
      <c r="F1" s="219"/>
    </row>
    <row r="2" spans="2:6" ht="20.25" x14ac:dyDescent="0.35">
      <c r="B2" s="220" t="str">
        <f>UG</f>
        <v>UNIDADE GESTORA (SIGLA): CNMP</v>
      </c>
      <c r="C2" s="221"/>
      <c r="D2" s="222"/>
      <c r="E2" s="114" t="s">
        <v>58</v>
      </c>
      <c r="F2" s="115" t="str">
        <f>DATA_DO_ORCAMENTO_ESTIMATIVO</f>
        <v>XX/XX/20XX</v>
      </c>
    </row>
    <row r="3" spans="2:6" s="99" customFormat="1" ht="25.5" x14ac:dyDescent="0.5">
      <c r="B3" s="162" t="s">
        <v>57</v>
      </c>
      <c r="C3" s="162"/>
      <c r="D3" s="162"/>
      <c r="E3" s="162"/>
      <c r="F3" s="162"/>
    </row>
    <row r="4" spans="2:6" s="99" customFormat="1" ht="15.95" customHeight="1" x14ac:dyDescent="0.3">
      <c r="B4" s="148" t="s">
        <v>97</v>
      </c>
      <c r="C4" s="148"/>
      <c r="D4" s="148"/>
      <c r="E4" s="148"/>
      <c r="F4" s="148"/>
    </row>
    <row r="5" spans="2:6" s="99" customFormat="1" ht="15.95" customHeight="1" x14ac:dyDescent="0.3">
      <c r="B5" s="146" t="s">
        <v>222</v>
      </c>
      <c r="C5" s="146"/>
      <c r="D5" s="223" t="str">
        <f>NUMERO_PROCESSO</f>
        <v>19.00.6181.0002269/2021-75</v>
      </c>
      <c r="E5" s="223"/>
      <c r="F5" s="223"/>
    </row>
    <row r="6" spans="2:6" s="99" customFormat="1" ht="15.75" customHeight="1" x14ac:dyDescent="0.3">
      <c r="B6" s="172" t="s">
        <v>223</v>
      </c>
      <c r="C6" s="172"/>
      <c r="D6" s="224" t="str">
        <f>MODALIDADE_DE_LICITACAO</f>
        <v>Pregão nº</v>
      </c>
      <c r="E6" s="224"/>
      <c r="F6" s="119" t="str">
        <f>NUMERO_PREGAO</f>
        <v>XX/20XX</v>
      </c>
    </row>
    <row r="7" spans="2:6" s="100" customFormat="1" ht="15.75" customHeight="1" x14ac:dyDescent="0.3">
      <c r="B7" s="225" t="s">
        <v>59</v>
      </c>
      <c r="C7" s="225"/>
      <c r="D7" s="225"/>
      <c r="E7" s="225"/>
      <c r="F7" s="225"/>
    </row>
    <row r="8" spans="2:6" s="99" customFormat="1" ht="18" customHeight="1" x14ac:dyDescent="0.3">
      <c r="B8" s="29" t="s">
        <v>2</v>
      </c>
      <c r="C8" s="146" t="s">
        <v>64</v>
      </c>
      <c r="D8" s="146"/>
      <c r="E8" s="146"/>
      <c r="F8" s="120" t="str">
        <f>DATA_APRESENTACAO_PROPOSTA</f>
        <v>XX/XX/20XX</v>
      </c>
    </row>
    <row r="9" spans="2:6" s="99" customFormat="1" ht="15.95" customHeight="1" x14ac:dyDescent="0.15">
      <c r="B9" s="1" t="s">
        <v>3</v>
      </c>
      <c r="C9" s="67" t="s">
        <v>38</v>
      </c>
      <c r="D9" s="234" t="str">
        <f>IF(LOCAL_DE_EXECUCAO="","",LOCAL_DE_EXECUCAO)</f>
        <v/>
      </c>
      <c r="E9" s="234"/>
      <c r="F9" s="234"/>
    </row>
    <row r="10" spans="2:6" s="99" customFormat="1" ht="18.75" customHeight="1" x14ac:dyDescent="0.3">
      <c r="B10" s="29" t="s">
        <v>4</v>
      </c>
      <c r="C10" s="146" t="s">
        <v>39</v>
      </c>
      <c r="D10" s="146"/>
      <c r="E10" s="146"/>
      <c r="F10" s="121" t="str">
        <f>ACORDO_COLETIVO</f>
        <v>01/2021</v>
      </c>
    </row>
    <row r="11" spans="2:6" s="99" customFormat="1" ht="15.95" customHeight="1" x14ac:dyDescent="0.3">
      <c r="B11" s="1" t="s">
        <v>5</v>
      </c>
      <c r="C11" s="234" t="s">
        <v>65</v>
      </c>
      <c r="D11" s="234"/>
      <c r="E11" s="234"/>
      <c r="F11" s="122">
        <f>NUMERO_MESES_EXEC_CONTRATUAL</f>
        <v>12</v>
      </c>
    </row>
    <row r="12" spans="2:6" s="99" customFormat="1" x14ac:dyDescent="0.3">
      <c r="B12" s="1" t="s">
        <v>6</v>
      </c>
      <c r="C12" s="235" t="s">
        <v>85</v>
      </c>
      <c r="D12" s="235"/>
      <c r="E12" s="235"/>
      <c r="F12" s="103">
        <f>IF(QTDE_DE_POSTOS_12X36_NOT=0,"",QTDE_DE_POSTOS_12X36_NOT)</f>
        <v>1</v>
      </c>
    </row>
    <row r="13" spans="2:6" s="128" customFormat="1" ht="21" customHeight="1" x14ac:dyDescent="0.2">
      <c r="B13" s="126" t="s">
        <v>206</v>
      </c>
      <c r="C13" s="127"/>
      <c r="D13" s="127"/>
      <c r="E13" s="127"/>
      <c r="F13" s="127"/>
    </row>
    <row r="14" spans="2:6" s="99" customFormat="1" x14ac:dyDescent="0.3">
      <c r="B14" s="29">
        <v>1</v>
      </c>
      <c r="C14" s="155" t="s">
        <v>61</v>
      </c>
      <c r="D14" s="155"/>
      <c r="E14" s="154" t="str">
        <f>TIPO_DE_SERVICO</f>
        <v>Brigadista</v>
      </c>
      <c r="F14" s="154"/>
    </row>
    <row r="15" spans="2:6" s="100" customFormat="1" x14ac:dyDescent="0.3">
      <c r="B15" s="29">
        <v>2</v>
      </c>
      <c r="C15" s="31" t="s">
        <v>60</v>
      </c>
      <c r="D15" s="153">
        <f>CBO</f>
        <v>0</v>
      </c>
      <c r="E15" s="153"/>
      <c r="F15" s="153"/>
    </row>
    <row r="16" spans="2:6" s="99" customFormat="1" ht="15" customHeight="1" x14ac:dyDescent="0.3">
      <c r="B16" s="29">
        <v>3</v>
      </c>
      <c r="C16" s="57" t="s">
        <v>62</v>
      </c>
      <c r="D16" s="154" t="str">
        <f>CATEGORIA_PROFISSIONAL</f>
        <v>Bombeiro Civil</v>
      </c>
      <c r="E16" s="154"/>
      <c r="F16" s="154"/>
    </row>
    <row r="17" spans="2:6" s="99" customFormat="1" ht="15" customHeight="1" x14ac:dyDescent="0.3">
      <c r="B17" s="29">
        <v>4</v>
      </c>
      <c r="C17" s="156" t="s">
        <v>63</v>
      </c>
      <c r="D17" s="156"/>
      <c r="E17" s="156"/>
      <c r="F17" s="136">
        <f>DATA_BASE_CATEGORIA</f>
        <v>44197</v>
      </c>
    </row>
    <row r="18" spans="2:6" s="125" customFormat="1" ht="30" customHeight="1" x14ac:dyDescent="0.3">
      <c r="B18" s="226" t="s">
        <v>42</v>
      </c>
      <c r="C18" s="226"/>
      <c r="D18" s="226"/>
      <c r="E18" s="226"/>
      <c r="F18" s="226"/>
    </row>
    <row r="19" spans="2:6" x14ac:dyDescent="0.3">
      <c r="B19" s="195" t="s">
        <v>54</v>
      </c>
      <c r="C19" s="195"/>
      <c r="D19" s="195"/>
      <c r="E19" s="195"/>
      <c r="F19" s="118">
        <v>2</v>
      </c>
    </row>
    <row r="20" spans="2:6" x14ac:dyDescent="0.3">
      <c r="B20" s="54" t="s">
        <v>8</v>
      </c>
      <c r="E20" s="18"/>
      <c r="F20" s="18"/>
    </row>
    <row r="21" spans="2:6" x14ac:dyDescent="0.3">
      <c r="B21" s="1">
        <v>1</v>
      </c>
      <c r="C21" s="196" t="s">
        <v>9</v>
      </c>
      <c r="D21" s="196"/>
      <c r="E21" s="196"/>
      <c r="F21" s="5" t="s">
        <v>13</v>
      </c>
    </row>
    <row r="22" spans="2:6" x14ac:dyDescent="0.3">
      <c r="B22" s="1" t="s">
        <v>2</v>
      </c>
      <c r="C22" s="157" t="s">
        <v>92</v>
      </c>
      <c r="D22" s="157"/>
      <c r="E22" s="157"/>
      <c r="F22" s="58">
        <f>SALARIO_BASE</f>
        <v>3044.5</v>
      </c>
    </row>
    <row r="23" spans="2:6" x14ac:dyDescent="0.3">
      <c r="B23" s="1" t="s">
        <v>3</v>
      </c>
      <c r="C23" s="203" t="s">
        <v>94</v>
      </c>
      <c r="D23" s="203"/>
      <c r="E23" s="203"/>
      <c r="F23" s="14">
        <f>PERC_ADIC_PERIC%*SALARIO_BASE</f>
        <v>913.35</v>
      </c>
    </row>
    <row r="24" spans="2:6" ht="15.75" customHeight="1" x14ac:dyDescent="0.3">
      <c r="B24" s="1" t="s">
        <v>4</v>
      </c>
      <c r="C24" s="236" t="s">
        <v>83</v>
      </c>
      <c r="D24" s="236"/>
      <c r="E24" s="236"/>
      <c r="F24" s="58">
        <f>((AL_1_A_SAL_BASE_12X36_NOT+AL_1_B_ADIC_PERIC_12X36_NOT)/180)*DIAS_NA_SEMANA*MEDIA_ANUAL_DIAS_TRABALHO_MES*PERC_ADIC_NOT%</f>
        <v>467.91</v>
      </c>
    </row>
    <row r="25" spans="2:6" ht="15.75" customHeight="1" x14ac:dyDescent="0.3">
      <c r="B25" s="1" t="s">
        <v>5</v>
      </c>
      <c r="C25" s="203" t="s">
        <v>86</v>
      </c>
      <c r="D25" s="203"/>
      <c r="E25" s="203"/>
      <c r="F25" s="14">
        <f>((AL_1_A_SAL_BASE_12X36_NOT+AL_1_B_ADIC_PERIC_12X36_NOT)/DIVISOR_DE_HORAS)*((HORA_NORMAL-HORA_NOTURNA)/HORA_NOTURNA)*DIAS_NA_SEMANA*MEDIA_ANUAL_DIAS_TRABALHO_MES*PERC_ADIC_NOT%</f>
        <v>54.69</v>
      </c>
    </row>
    <row r="26" spans="2:6" x14ac:dyDescent="0.3">
      <c r="B26" s="1" t="s">
        <v>6</v>
      </c>
      <c r="C26" s="214" t="str">
        <f>OUTROS_REMUNERACAO_1_DESCRICAO</f>
        <v>Hora extra folga da Lei 11.911/2009</v>
      </c>
      <c r="D26" s="215"/>
      <c r="E26" s="216"/>
      <c r="F26" s="58">
        <f>OUTROS_REMUNERACAO_1</f>
        <v>323.82</v>
      </c>
    </row>
    <row r="27" spans="2:6" x14ac:dyDescent="0.3">
      <c r="B27" s="1" t="s">
        <v>7</v>
      </c>
      <c r="C27" s="231" t="str">
        <f>OUTROS_REMUNERACAO_2_DESCRICAO</f>
        <v>Outras Remunerações 2 (Especificar)</v>
      </c>
      <c r="D27" s="232"/>
      <c r="E27" s="233"/>
      <c r="F27" s="14">
        <f>OUTROS_REMUNERACAO_2</f>
        <v>0</v>
      </c>
    </row>
    <row r="28" spans="2:6" x14ac:dyDescent="0.3">
      <c r="B28" s="1" t="s">
        <v>10</v>
      </c>
      <c r="C28" s="214" t="str">
        <f>OUTROS_REMUNERACAO_3_DESCRICAO</f>
        <v>Outras Remunerações 3 (Especificar)</v>
      </c>
      <c r="D28" s="215"/>
      <c r="E28" s="216"/>
      <c r="F28" s="58">
        <f>OUTROS_REMUNERACAO_3</f>
        <v>0</v>
      </c>
    </row>
    <row r="29" spans="2:6" x14ac:dyDescent="0.3">
      <c r="B29" s="237" t="s">
        <v>48</v>
      </c>
      <c r="C29" s="237"/>
      <c r="D29" s="237"/>
      <c r="E29" s="237"/>
      <c r="F29" s="44">
        <f>SUM(F22:F28)</f>
        <v>4804.2700000000004</v>
      </c>
    </row>
    <row r="30" spans="2:6" x14ac:dyDescent="0.3">
      <c r="B30" s="54" t="s">
        <v>66</v>
      </c>
      <c r="E30" s="25"/>
      <c r="F30" s="25"/>
    </row>
    <row r="31" spans="2:6" x14ac:dyDescent="0.3">
      <c r="B31" s="54" t="s">
        <v>110</v>
      </c>
      <c r="C31" s="16"/>
      <c r="D31" s="26"/>
      <c r="E31" s="24"/>
      <c r="F31" s="24"/>
    </row>
    <row r="32" spans="2:6" x14ac:dyDescent="0.3">
      <c r="B32" s="1" t="s">
        <v>67</v>
      </c>
      <c r="C32" s="195" t="s">
        <v>93</v>
      </c>
      <c r="D32" s="195"/>
      <c r="E32" s="5" t="s">
        <v>1</v>
      </c>
      <c r="F32" s="5" t="s">
        <v>13</v>
      </c>
    </row>
    <row r="33" spans="2:6" x14ac:dyDescent="0.3">
      <c r="B33" s="1" t="s">
        <v>2</v>
      </c>
      <c r="C33" s="202" t="s">
        <v>49</v>
      </c>
      <c r="D33" s="202"/>
      <c r="E33" s="60">
        <f>PERC_DEC_TERC</f>
        <v>8.33</v>
      </c>
      <c r="F33" s="59">
        <f>PERC_DEC_TERC%*MOD_1_REMUNERACAO_12X36_NOT</f>
        <v>400.2</v>
      </c>
    </row>
    <row r="34" spans="2:6" s="21" customFormat="1" x14ac:dyDescent="0.3">
      <c r="B34" s="2" t="s">
        <v>3</v>
      </c>
      <c r="C34" s="203" t="s">
        <v>95</v>
      </c>
      <c r="D34" s="203"/>
      <c r="E34" s="42">
        <f>PERC_ADIC_FERIAS</f>
        <v>2.78</v>
      </c>
      <c r="F34" s="40">
        <f>PERC_ADIC_FERIAS%*MOD_1_REMUNERACAO_12X36_NOT</f>
        <v>133.56</v>
      </c>
    </row>
    <row r="35" spans="2:6" s="108" customFormat="1" x14ac:dyDescent="0.3">
      <c r="B35" s="184" t="s">
        <v>48</v>
      </c>
      <c r="C35" s="185"/>
      <c r="D35" s="185"/>
      <c r="E35" s="186"/>
      <c r="F35" s="45">
        <f>SUM(F33:F34)</f>
        <v>533.76</v>
      </c>
    </row>
    <row r="36" spans="2:6" s="108" customFormat="1" ht="31.5" customHeight="1" x14ac:dyDescent="0.3">
      <c r="B36" s="238" t="s">
        <v>68</v>
      </c>
      <c r="C36" s="238"/>
      <c r="D36" s="238"/>
      <c r="E36" s="238"/>
      <c r="F36" s="238"/>
    </row>
    <row r="37" spans="2:6" s="108" customFormat="1" ht="34.5" customHeight="1" x14ac:dyDescent="0.3">
      <c r="B37" s="1" t="s">
        <v>69</v>
      </c>
      <c r="C37" s="208" t="s">
        <v>96</v>
      </c>
      <c r="D37" s="208"/>
      <c r="E37" s="5" t="s">
        <v>1</v>
      </c>
      <c r="F37" s="5" t="s">
        <v>13</v>
      </c>
    </row>
    <row r="38" spans="2:6" x14ac:dyDescent="0.3">
      <c r="B38" s="1" t="s">
        <v>2</v>
      </c>
      <c r="C38" s="202" t="s">
        <v>43</v>
      </c>
      <c r="D38" s="202"/>
      <c r="E38" s="60">
        <f>PERC_INSS</f>
        <v>20</v>
      </c>
      <c r="F38" s="59">
        <f>PERC_INSS%*(MOD_1_REMUNERACAO_12X36_NOT+SUBMOD_2_1_DEC_TERC_ADIC_FERIAS_12X36_NOT)</f>
        <v>1067.6099999999999</v>
      </c>
    </row>
    <row r="39" spans="2:6" s="99" customFormat="1" x14ac:dyDescent="0.15">
      <c r="B39" s="2" t="s">
        <v>3</v>
      </c>
      <c r="C39" s="203" t="s">
        <v>45</v>
      </c>
      <c r="D39" s="203"/>
      <c r="E39" s="49">
        <f>PERC_SAL_EDUCACAO</f>
        <v>2.5</v>
      </c>
      <c r="F39" s="40">
        <f>PERC_SAL_EDUCACAO%*(MOD_1_REMUNERACAO_12X36_NOT+SUBMOD_2_1_DEC_TERC_ADIC_FERIAS_12X36_NOT)</f>
        <v>133.44999999999999</v>
      </c>
    </row>
    <row r="40" spans="2:6" s="99" customFormat="1" x14ac:dyDescent="0.15">
      <c r="B40" s="2" t="s">
        <v>4</v>
      </c>
      <c r="C40" s="202" t="s">
        <v>89</v>
      </c>
      <c r="D40" s="202"/>
      <c r="E40" s="60">
        <f>PERC_RAT</f>
        <v>3</v>
      </c>
      <c r="F40" s="59">
        <f>PERC_RAT%*(MOD_1_REMUNERACAO_12X36_NOT+SUBMOD_2_1_DEC_TERC_ADIC_FERIAS_12X36_NOT)</f>
        <v>160.13999999999999</v>
      </c>
    </row>
    <row r="41" spans="2:6" s="99" customFormat="1" x14ac:dyDescent="0.15">
      <c r="B41" s="2" t="s">
        <v>5</v>
      </c>
      <c r="C41" s="203" t="s">
        <v>87</v>
      </c>
      <c r="D41" s="203"/>
      <c r="E41" s="42">
        <f>PERC_SESC</f>
        <v>1.5</v>
      </c>
      <c r="F41" s="40">
        <f>PERC_SESC%*(MOD_1_REMUNERACAO_12X36_NOT+SUBMOD_2_1_DEC_TERC_ADIC_FERIAS_12X36_NOT)</f>
        <v>80.069999999999993</v>
      </c>
    </row>
    <row r="42" spans="2:6" s="99" customFormat="1" x14ac:dyDescent="0.15">
      <c r="B42" s="2" t="s">
        <v>6</v>
      </c>
      <c r="C42" s="202" t="s">
        <v>88</v>
      </c>
      <c r="D42" s="202"/>
      <c r="E42" s="60">
        <f>PERC_SENAC</f>
        <v>1</v>
      </c>
      <c r="F42" s="59">
        <f>PERC_SENAC%*(MOD_1_REMUNERACAO_12X36_NOT+SUBMOD_2_1_DEC_TERC_ADIC_FERIAS_12X36_NOT)</f>
        <v>53.38</v>
      </c>
    </row>
    <row r="43" spans="2:6" s="100" customFormat="1" x14ac:dyDescent="0.15">
      <c r="B43" s="2" t="s">
        <v>7</v>
      </c>
      <c r="C43" s="203" t="s">
        <v>47</v>
      </c>
      <c r="D43" s="203"/>
      <c r="E43" s="49">
        <f>PERC_SEBRAE</f>
        <v>0.6</v>
      </c>
      <c r="F43" s="40">
        <f>PERC_SEBRAE%*(MOD_1_REMUNERACAO_12X36_NOT+SUBMOD_2_1_DEC_TERC_ADIC_FERIAS_12X36_NOT)</f>
        <v>32.03</v>
      </c>
    </row>
    <row r="44" spans="2:6" s="100" customFormat="1" x14ac:dyDescent="0.15">
      <c r="B44" s="2" t="s">
        <v>10</v>
      </c>
      <c r="C44" s="202" t="s">
        <v>44</v>
      </c>
      <c r="D44" s="202"/>
      <c r="E44" s="60">
        <f>PERC_INCRA</f>
        <v>0.2</v>
      </c>
      <c r="F44" s="59">
        <f>PERC_INCRA%*(MOD_1_REMUNERACAO_12X36_NOT+SUBMOD_2_1_DEC_TERC_ADIC_FERIAS_12X36_NOT)</f>
        <v>10.68</v>
      </c>
    </row>
    <row r="45" spans="2:6" x14ac:dyDescent="0.3">
      <c r="B45" s="2" t="s">
        <v>11</v>
      </c>
      <c r="C45" s="203" t="s">
        <v>46</v>
      </c>
      <c r="D45" s="203"/>
      <c r="E45" s="49">
        <f>PERC_FGTS</f>
        <v>8</v>
      </c>
      <c r="F45" s="40">
        <f>PERC_FGTS%*(MOD_1_REMUNERACAO_12X36_NOT+SUBMOD_2_1_DEC_TERC_ADIC_FERIAS_12X36_NOT)</f>
        <v>427.04</v>
      </c>
    </row>
    <row r="46" spans="2:6" x14ac:dyDescent="0.3">
      <c r="B46" s="184" t="s">
        <v>48</v>
      </c>
      <c r="C46" s="185"/>
      <c r="D46" s="185"/>
      <c r="E46" s="186"/>
      <c r="F46" s="46">
        <f>SUM(F38:F45)</f>
        <v>1964.4</v>
      </c>
    </row>
    <row r="47" spans="2:6" ht="15.75" customHeight="1" x14ac:dyDescent="0.3">
      <c r="B47" s="54" t="s">
        <v>71</v>
      </c>
      <c r="C47" s="100"/>
      <c r="D47" s="100"/>
      <c r="E47" s="100"/>
      <c r="F47" s="100"/>
    </row>
    <row r="48" spans="2:6" ht="15.75" customHeight="1" x14ac:dyDescent="0.3">
      <c r="B48" s="1" t="s">
        <v>90</v>
      </c>
      <c r="C48" s="196" t="s">
        <v>14</v>
      </c>
      <c r="D48" s="196"/>
      <c r="E48" s="196"/>
      <c r="F48" s="5" t="s">
        <v>13</v>
      </c>
    </row>
    <row r="49" spans="2:6" x14ac:dyDescent="0.3">
      <c r="B49" s="29" t="s">
        <v>2</v>
      </c>
      <c r="C49" s="202" t="s">
        <v>15</v>
      </c>
      <c r="D49" s="202"/>
      <c r="E49" s="202"/>
      <c r="F49" s="59">
        <f>IF(((TRANSPORTE_POR_DIA*DIAS_TRABALHADOS_NO_MES_12X36)-(PERC_DESC_TRANSP_REMUNERACAO%*(AL_1_A_SAL_BASE_12X36_NOT/2)))&gt;0,((TRANSPORTE_POR_DIA*DIAS_TRABALHADOS_NO_MES_12X36)-(PERC_DESC_TRANSP_REMUNERACAO%*(AL_1_A_SAL_BASE_12X36_NOT/2))),0)</f>
        <v>73.67</v>
      </c>
    </row>
    <row r="50" spans="2:6" s="108" customFormat="1" x14ac:dyDescent="0.3">
      <c r="B50" s="29" t="s">
        <v>3</v>
      </c>
      <c r="C50" s="203" t="s">
        <v>70</v>
      </c>
      <c r="D50" s="203"/>
      <c r="E50" s="203"/>
      <c r="F50" s="40">
        <f>ALIMENTACAO_POR_DIA*DIAS_TRABALHADOS_NO_MES_12X36</f>
        <v>565.5</v>
      </c>
    </row>
    <row r="51" spans="2:6" s="108" customFormat="1" x14ac:dyDescent="0.3">
      <c r="B51" s="29" t="s">
        <v>4</v>
      </c>
      <c r="C51" s="214" t="str">
        <f>OUTROS_BENEFICIOS_1_DESCRICAO</f>
        <v>Seguro de vida</v>
      </c>
      <c r="D51" s="215"/>
      <c r="E51" s="216"/>
      <c r="F51" s="59">
        <f>OUTROS_BENEFICIOS_1</f>
        <v>0</v>
      </c>
    </row>
    <row r="52" spans="2:6" s="108" customFormat="1" x14ac:dyDescent="0.3">
      <c r="B52" s="29" t="s">
        <v>5</v>
      </c>
      <c r="C52" s="231" t="str">
        <f>OUTROS_BENEFICIOS_2_DESCRICAO</f>
        <v>Plano Ambulatorial</v>
      </c>
      <c r="D52" s="232"/>
      <c r="E52" s="233"/>
      <c r="F52" s="40">
        <f>OUTROS_BENEFICIOS_2</f>
        <v>0</v>
      </c>
    </row>
    <row r="53" spans="2:6" s="108" customFormat="1" x14ac:dyDescent="0.3">
      <c r="B53" s="29" t="s">
        <v>6</v>
      </c>
      <c r="C53" s="214" t="str">
        <f>OUTROS_BENEFICIOS_3_DESCRICAO</f>
        <v>Seguro de vida em grupo</v>
      </c>
      <c r="D53" s="215"/>
      <c r="E53" s="216"/>
      <c r="F53" s="59">
        <f>OUTROS_BENEFICIOS_3</f>
        <v>0</v>
      </c>
    </row>
    <row r="54" spans="2:6" s="108" customFormat="1" ht="15" customHeight="1" x14ac:dyDescent="0.3">
      <c r="B54" s="237" t="s">
        <v>48</v>
      </c>
      <c r="C54" s="237"/>
      <c r="D54" s="237"/>
      <c r="E54" s="237"/>
      <c r="F54" s="44">
        <f>SUM(F49:F53)</f>
        <v>639.16999999999996</v>
      </c>
    </row>
    <row r="55" spans="2:6" s="108" customFormat="1" x14ac:dyDescent="0.3">
      <c r="B55" s="54" t="s">
        <v>72</v>
      </c>
      <c r="C55" s="16"/>
      <c r="D55" s="26"/>
      <c r="E55" s="24"/>
      <c r="F55" s="24"/>
    </row>
    <row r="56" spans="2:6" s="108" customFormat="1" ht="15" customHeight="1" x14ac:dyDescent="0.3">
      <c r="B56" s="1">
        <v>3</v>
      </c>
      <c r="C56" s="195" t="s">
        <v>50</v>
      </c>
      <c r="D56" s="195"/>
      <c r="E56" s="5" t="s">
        <v>1</v>
      </c>
      <c r="F56" s="5" t="s">
        <v>13</v>
      </c>
    </row>
    <row r="57" spans="2:6" s="108" customFormat="1" x14ac:dyDescent="0.3">
      <c r="B57" s="1" t="s">
        <v>2</v>
      </c>
      <c r="C57" s="205" t="s">
        <v>51</v>
      </c>
      <c r="D57" s="205"/>
      <c r="E57" s="60">
        <f>PERC_AVISO_PREVIO_IND</f>
        <v>0.28999999999999998</v>
      </c>
      <c r="F57" s="59">
        <f>PERC_AVISO_PREVIO_IND%*(MOD_1_REMUNERACAO_12X36_NOT+SUBMOD_2_1_DEC_TERC_ADIC_FERIAS_12X36_NOT+AL_2_2_FGTS_12X36_NOT+SUBMOD_2_3_BENEFICIOS_12X36_NOT)</f>
        <v>18.57</v>
      </c>
    </row>
    <row r="58" spans="2:6" s="108" customFormat="1" x14ac:dyDescent="0.3">
      <c r="B58" s="2" t="s">
        <v>3</v>
      </c>
      <c r="C58" s="207" t="s">
        <v>52</v>
      </c>
      <c r="D58" s="207"/>
      <c r="E58" s="49">
        <f>PERC_AVISO_PREVIO_TRAB</f>
        <v>1.1599999999999999</v>
      </c>
      <c r="F58" s="40">
        <f>PERC_AVISO_PREVIO_TRAB%*(MOD_1_REMUNERACAO_12X36_NOT+SUBMOD_2_1_DEC_TERC_ADIC_FERIAS_12X36_NOT+SUBMOD_2_2_GPS_FGTS_12X36_NOT+SUBMOD_2_3_BENEFICIOS_12X36_NOT)</f>
        <v>92.12</v>
      </c>
    </row>
    <row r="59" spans="2:6" s="99" customFormat="1" x14ac:dyDescent="0.15">
      <c r="B59" s="2" t="s">
        <v>4</v>
      </c>
      <c r="C59" s="205" t="s">
        <v>231</v>
      </c>
      <c r="D59" s="205"/>
      <c r="E59" s="60">
        <f>PERC_MULTA_FGTS_AV_PREV_TRAB</f>
        <v>0.04</v>
      </c>
      <c r="F59" s="59">
        <f>PERC_MULTA_FGTS_AV_PREV_TRAB%*(MOD_1_REMUNERACAO_12X36_NOT+SUBMOD_2_1_DEC_TERC_ADIC_FERIAS_12X36_NOT)</f>
        <v>2.14</v>
      </c>
    </row>
    <row r="60" spans="2:6" s="99" customFormat="1" x14ac:dyDescent="0.3">
      <c r="B60" s="184" t="s">
        <v>48</v>
      </c>
      <c r="C60" s="185"/>
      <c r="D60" s="185"/>
      <c r="E60" s="186"/>
      <c r="F60" s="45">
        <f>SUM(F57:F59)</f>
        <v>112.83</v>
      </c>
    </row>
    <row r="61" spans="2:6" ht="7.5" customHeight="1" x14ac:dyDescent="0.3">
      <c r="B61" s="20"/>
      <c r="C61" s="21"/>
      <c r="D61" s="22"/>
      <c r="E61" s="18"/>
      <c r="F61" s="18"/>
    </row>
    <row r="62" spans="2:6" s="99" customFormat="1" ht="15.95" customHeight="1" x14ac:dyDescent="0.3">
      <c r="B62" s="54" t="s">
        <v>73</v>
      </c>
      <c r="C62" s="16"/>
      <c r="D62" s="26"/>
      <c r="E62" s="17"/>
      <c r="F62" s="17"/>
    </row>
    <row r="63" spans="2:6" s="99" customFormat="1" ht="15.95" customHeight="1" x14ac:dyDescent="0.3">
      <c r="B63" s="54" t="s">
        <v>102</v>
      </c>
      <c r="C63" s="16"/>
      <c r="D63" s="26"/>
      <c r="E63" s="24"/>
      <c r="F63" s="24"/>
    </row>
    <row r="64" spans="2:6" s="99" customFormat="1" x14ac:dyDescent="0.15">
      <c r="B64" s="1" t="s">
        <v>20</v>
      </c>
      <c r="C64" s="206" t="s">
        <v>103</v>
      </c>
      <c r="D64" s="206"/>
      <c r="E64" s="5" t="s">
        <v>1</v>
      </c>
      <c r="F64" s="5" t="s">
        <v>13</v>
      </c>
    </row>
    <row r="65" spans="2:6" s="99" customFormat="1" ht="15.95" customHeight="1" x14ac:dyDescent="0.15">
      <c r="B65" s="2" t="s">
        <v>2</v>
      </c>
      <c r="C65" s="202" t="s">
        <v>104</v>
      </c>
      <c r="D65" s="202"/>
      <c r="E65" s="60">
        <f>PERC_SUBSTITUTO_FERIAS</f>
        <v>8.33</v>
      </c>
      <c r="F65" s="59">
        <f>PERC_SUBSTITUTO_FERIAS%*(MOD_1_REMUNERACAO_12X36_NOT+MOD_2_ENCARGOS_BENEFICIOS_12X36_NOT+MOD_3_PROVISAO_RESCISAO_12X36_NOT)</f>
        <v>670.93</v>
      </c>
    </row>
    <row r="66" spans="2:6" s="99" customFormat="1" ht="15.95" customHeight="1" x14ac:dyDescent="0.15">
      <c r="B66" s="2" t="s">
        <v>3</v>
      </c>
      <c r="C66" s="203" t="s">
        <v>105</v>
      </c>
      <c r="D66" s="203"/>
      <c r="E66" s="49">
        <f>PERC_SUBSTITUTO_AUSENCIAS_LEGAIS</f>
        <v>2.2200000000000002</v>
      </c>
      <c r="F66" s="40">
        <f>PERC_SUBSTITUTO_AUSENCIAS_LEGAIS%*(MOD_1_REMUNERACAO_12X36_NOT+MOD_2_ENCARGOS_BENEFICIOS_12X36_NOT+MOD_3_PROVISAO_RESCISAO_12X36_NOT)</f>
        <v>178.81</v>
      </c>
    </row>
    <row r="67" spans="2:6" s="99" customFormat="1" ht="15.95" customHeight="1" x14ac:dyDescent="0.15">
      <c r="B67" s="2" t="s">
        <v>4</v>
      </c>
      <c r="C67" s="202" t="s">
        <v>106</v>
      </c>
      <c r="D67" s="202"/>
      <c r="E67" s="60">
        <f>PERC_SUBSTITUTO_LICENCA_PATERNIDADE</f>
        <v>7.0000000000000007E-2</v>
      </c>
      <c r="F67" s="59">
        <f>PERC_SUBSTITUTO_LICENCA_PATERNIDADE%*(MOD_1_REMUNERACAO_12X36_NOT+MOD_2_ENCARGOS_BENEFICIOS_12X36_NOT+MOD_3_PROVISAO_RESCISAO_12X36_NOT)</f>
        <v>5.64</v>
      </c>
    </row>
    <row r="68" spans="2:6" s="99" customFormat="1" x14ac:dyDescent="0.15">
      <c r="B68" s="2" t="s">
        <v>5</v>
      </c>
      <c r="C68" s="203" t="s">
        <v>107</v>
      </c>
      <c r="D68" s="203"/>
      <c r="E68" s="49">
        <f>PERC_SUBSTITUTO_ACID_TRAB</f>
        <v>0.02</v>
      </c>
      <c r="F68" s="40">
        <f>PERC_SUBSTITUTO_ACID_TRAB%*(MOD_1_REMUNERACAO_12X36_NOT+MOD_2_ENCARGOS_BENEFICIOS_12X36_NOT+MOD_3_PROVISAO_RESCISAO_12X36_NOT)</f>
        <v>1.61</v>
      </c>
    </row>
    <row r="69" spans="2:6" s="99" customFormat="1" x14ac:dyDescent="0.15">
      <c r="B69" s="2" t="s">
        <v>6</v>
      </c>
      <c r="C69" s="202" t="s">
        <v>108</v>
      </c>
      <c r="D69" s="202"/>
      <c r="E69" s="60">
        <f>PERC_SUBSTITUTO_AFAST_MATERN</f>
        <v>0.04</v>
      </c>
      <c r="F69" s="59">
        <f>PERC_SUBSTITUTO_AFAST_MATERN%*(MOD_1_REMUNERACAO_12X36_NOT+MOD_2_ENCARGOS_BENEFICIOS_12X36_NOT+MOD_3_PROVISAO_RESCISAO_12X36_NOT)</f>
        <v>3.22</v>
      </c>
    </row>
    <row r="70" spans="2:6" s="99" customFormat="1" x14ac:dyDescent="0.15">
      <c r="B70" s="2" t="s">
        <v>7</v>
      </c>
      <c r="C70" s="212" t="str">
        <f>OUTRAS_AUSENCIAS_DESCRICAO</f>
        <v>Outras Ausências (Especificar - em %)</v>
      </c>
      <c r="D70" s="203"/>
      <c r="E70" s="56">
        <f>PERC_SUBSTITUTO_OUTRAS_AUSENCIAS</f>
        <v>0</v>
      </c>
      <c r="F70" s="40">
        <f>PERC_SUBSTITUTO_OUTRAS_AUSENCIAS%*(MOD_1_REMUNERACAO_12X36_NOT+MOD_2_ENCARGOS_BENEFICIOS_12X36_NOT+MOD_3_PROVISAO_RESCISAO_12X36_NOT)</f>
        <v>0</v>
      </c>
    </row>
    <row r="71" spans="2:6" s="99" customFormat="1" x14ac:dyDescent="0.3">
      <c r="B71" s="184" t="s">
        <v>48</v>
      </c>
      <c r="C71" s="185"/>
      <c r="D71" s="185"/>
      <c r="E71" s="186"/>
      <c r="F71" s="45">
        <f>SUM(F65:F70)</f>
        <v>860.21</v>
      </c>
    </row>
    <row r="72" spans="2:6" s="99" customFormat="1" ht="15" customHeight="1" x14ac:dyDescent="0.3">
      <c r="B72" s="54" t="s">
        <v>225</v>
      </c>
      <c r="C72" s="16"/>
      <c r="D72" s="26"/>
      <c r="E72" s="24"/>
      <c r="F72" s="24"/>
    </row>
    <row r="73" spans="2:6" s="99" customFormat="1" x14ac:dyDescent="0.15">
      <c r="B73" s="1" t="s">
        <v>21</v>
      </c>
      <c r="C73" s="195" t="s">
        <v>224</v>
      </c>
      <c r="D73" s="195"/>
      <c r="E73" s="195"/>
      <c r="F73" s="5" t="s">
        <v>13</v>
      </c>
    </row>
    <row r="74" spans="2:6" s="99" customFormat="1" x14ac:dyDescent="0.15">
      <c r="B74" s="1" t="s">
        <v>2</v>
      </c>
      <c r="C74" s="202" t="s">
        <v>109</v>
      </c>
      <c r="D74" s="202"/>
      <c r="E74" s="202"/>
      <c r="F74" s="58">
        <f>((MOD_1_REMUNERACAO_12X36_NOT+MOD_2_ENCARGOS_BENEFICIOS_12X36_NOT+MOD_3_PROVISAO_RESCISAO_12X36_NOT)/DIVISOR_DE_HORAS)*((TEMPO_INTERVALO_REFEICAO/HORA_NORMAL)+PERC_HORA_EXTRA%)*DIAS_TRABALHADOS_NO_MES_12X36</f>
        <v>0</v>
      </c>
    </row>
    <row r="75" spans="2:6" s="99" customFormat="1" x14ac:dyDescent="0.3">
      <c r="B75" s="195" t="s">
        <v>48</v>
      </c>
      <c r="C75" s="195"/>
      <c r="D75" s="195"/>
      <c r="E75" s="195"/>
      <c r="F75" s="45">
        <f>SUM(F74)</f>
        <v>0</v>
      </c>
    </row>
    <row r="76" spans="2:6" ht="7.5" customHeight="1" x14ac:dyDescent="0.3">
      <c r="B76" s="20"/>
      <c r="C76" s="21"/>
      <c r="D76" s="22"/>
      <c r="E76" s="18"/>
      <c r="F76" s="18"/>
    </row>
    <row r="77" spans="2:6" x14ac:dyDescent="0.3">
      <c r="B77" s="54" t="s">
        <v>77</v>
      </c>
      <c r="C77" s="16"/>
      <c r="D77" s="16"/>
      <c r="E77" s="24"/>
      <c r="F77" s="24"/>
    </row>
    <row r="78" spans="2:6" ht="15.75" customHeight="1" x14ac:dyDescent="0.3">
      <c r="B78" s="52">
        <v>5</v>
      </c>
      <c r="C78" s="187" t="s">
        <v>0</v>
      </c>
      <c r="D78" s="187"/>
      <c r="E78" s="187"/>
      <c r="F78" s="53" t="s">
        <v>13</v>
      </c>
    </row>
    <row r="79" spans="2:6" x14ac:dyDescent="0.3">
      <c r="B79" s="48" t="s">
        <v>2</v>
      </c>
      <c r="C79" s="188" t="s">
        <v>16</v>
      </c>
      <c r="D79" s="188"/>
      <c r="E79" s="188"/>
      <c r="F79" s="61">
        <f>UNIFORMES</f>
        <v>92.49</v>
      </c>
    </row>
    <row r="80" spans="2:6" x14ac:dyDescent="0.3">
      <c r="B80" s="48" t="s">
        <v>3</v>
      </c>
      <c r="C80" s="189" t="s">
        <v>18</v>
      </c>
      <c r="D80" s="189"/>
      <c r="E80" s="189"/>
      <c r="F80" s="50">
        <f>MATERIAIS</f>
        <v>0</v>
      </c>
    </row>
    <row r="81" spans="2:6" x14ac:dyDescent="0.3">
      <c r="B81" s="48" t="s">
        <v>4</v>
      </c>
      <c r="C81" s="188" t="s">
        <v>17</v>
      </c>
      <c r="D81" s="188"/>
      <c r="E81" s="188"/>
      <c r="F81" s="61">
        <f>EQUIPAMENTOS</f>
        <v>33.18</v>
      </c>
    </row>
    <row r="82" spans="2:6" x14ac:dyDescent="0.3">
      <c r="B82" s="48" t="s">
        <v>5</v>
      </c>
      <c r="C82" s="213" t="str">
        <f>OUTROS_INSUMOS_DESCRICAO</f>
        <v>Outros (especificar)</v>
      </c>
      <c r="D82" s="189"/>
      <c r="E82" s="189"/>
      <c r="F82" s="50">
        <f>OUTROS_INSUMOS</f>
        <v>0</v>
      </c>
    </row>
    <row r="83" spans="2:6" x14ac:dyDescent="0.3">
      <c r="B83" s="209" t="s">
        <v>48</v>
      </c>
      <c r="C83" s="209"/>
      <c r="D83" s="209"/>
      <c r="E83" s="209"/>
      <c r="F83" s="47">
        <f>SUM(F79:F82)</f>
        <v>125.67</v>
      </c>
    </row>
    <row r="84" spans="2:6" ht="7.5" customHeight="1" x14ac:dyDescent="0.3">
      <c r="B84" s="20"/>
      <c r="C84" s="21"/>
      <c r="D84" s="22"/>
      <c r="E84" s="18"/>
      <c r="F84" s="18"/>
    </row>
    <row r="85" spans="2:6" ht="15" customHeight="1" x14ac:dyDescent="0.3">
      <c r="B85" s="180" t="s">
        <v>76</v>
      </c>
      <c r="C85" s="180"/>
      <c r="D85" s="180"/>
      <c r="E85" s="180"/>
      <c r="F85" s="180"/>
    </row>
    <row r="86" spans="2:6" x14ac:dyDescent="0.3">
      <c r="B86" s="1">
        <v>6</v>
      </c>
      <c r="C86" s="195" t="s">
        <v>22</v>
      </c>
      <c r="D86" s="195"/>
      <c r="E86" s="5" t="s">
        <v>1</v>
      </c>
      <c r="F86" s="5" t="s">
        <v>13</v>
      </c>
    </row>
    <row r="87" spans="2:6" x14ac:dyDescent="0.3">
      <c r="B87" s="1" t="s">
        <v>2</v>
      </c>
      <c r="C87" s="202" t="s">
        <v>78</v>
      </c>
      <c r="D87" s="202"/>
      <c r="E87" s="62">
        <f>PERC_CUSTOS_INDIRETOS</f>
        <v>4.8499999999999996</v>
      </c>
      <c r="F87" s="59">
        <f>PERC_CUSTOS_INDIRETOS%*(MOD_1_REMUNERACAO_12X36_NOT+MOD_2_ENCARGOS_BENEFICIOS_12X36_NOT+MOD_3_PROVISAO_RESCISAO_12X36_NOT+MOD_4_CUSTO_REPOSICAO_12X36_NOT+MOD_5_INSUMOS_12X36_NOT)</f>
        <v>438.46</v>
      </c>
    </row>
    <row r="88" spans="2:6" ht="15.75" customHeight="1" x14ac:dyDescent="0.3">
      <c r="B88" s="2" t="s">
        <v>3</v>
      </c>
      <c r="C88" s="203" t="s">
        <v>34</v>
      </c>
      <c r="D88" s="203"/>
      <c r="E88" s="51">
        <f>PERC_LUCRO</f>
        <v>5.45</v>
      </c>
      <c r="F88" s="40">
        <f>PERC_LUCRO%*(MOD_1_REMUNERACAO_12X36_NOT+MOD_2_ENCARGOS_BENEFICIOS_12X36_NOT+MOD_3_PROVISAO_RESCISAO_12X36_NOT+MOD_4_CUSTO_REPOSICAO_12X36_NOT+MOD_5_INSUMOS_12X36_NOT+AL_6_A_CUSTOS_INDIRETOS_12X36_NOT)</f>
        <v>516.59</v>
      </c>
    </row>
    <row r="89" spans="2:6" x14ac:dyDescent="0.3">
      <c r="B89" s="2" t="s">
        <v>4</v>
      </c>
      <c r="C89" s="202" t="s">
        <v>23</v>
      </c>
      <c r="D89" s="202"/>
      <c r="E89" s="62">
        <f>SUM(E90:E92)</f>
        <v>8.65</v>
      </c>
      <c r="F89" s="59">
        <f>SUM(F90:F92)</f>
        <v>946.46</v>
      </c>
    </row>
    <row r="90" spans="2:6" ht="15.75" customHeight="1" x14ac:dyDescent="0.3">
      <c r="B90" s="34" t="s">
        <v>79</v>
      </c>
      <c r="C90" s="210" t="s">
        <v>25</v>
      </c>
      <c r="D90" s="210"/>
      <c r="E90" s="35">
        <f>PERC_PIS</f>
        <v>0.65</v>
      </c>
      <c r="F90" s="64">
        <f>((MOD_1_REMUNERACAO_12X36_NOT+MOD_2_ENCARGOS_BENEFICIOS_12X36_NOT+MOD_3_PROVISAO_RESCISAO_12X36_NOT+MOD_4_CUSTO_REPOSICAO_12X36_NOT+MOD_5_INSUMOS_12X36_NOT+AL_6_A_CUSTOS_INDIRETOS_12X36_NOT+AL_6_B_LUCRO_12X36_NOT)*PERC_PIS%)/(1-PERC_TRIBUTOS%)</f>
        <v>71.12</v>
      </c>
    </row>
    <row r="91" spans="2:6" x14ac:dyDescent="0.3">
      <c r="B91" s="34" t="s">
        <v>80</v>
      </c>
      <c r="C91" s="211" t="s">
        <v>26</v>
      </c>
      <c r="D91" s="211"/>
      <c r="E91" s="63">
        <f>PERC_COFINS</f>
        <v>3</v>
      </c>
      <c r="F91" s="65">
        <f>((MOD_1_REMUNERACAO_12X36_NOT+MOD_2_ENCARGOS_BENEFICIOS_12X36_NOT+MOD_3_PROVISAO_RESCISAO_12X36_NOT+MOD_4_CUSTO_REPOSICAO_12X36_NOT+MOD_5_INSUMOS_12X36_NOT+AL_6_A_CUSTOS_INDIRETOS_12X36_NOT+AL_6_B_LUCRO_12X36_NOT)*PERC_COFINS%)/(1-PERC_TRIBUTOS%)</f>
        <v>328.25</v>
      </c>
    </row>
    <row r="92" spans="2:6" s="109" customFormat="1" x14ac:dyDescent="0.3">
      <c r="B92" s="34" t="s">
        <v>81</v>
      </c>
      <c r="C92" s="210" t="s">
        <v>27</v>
      </c>
      <c r="D92" s="210"/>
      <c r="E92" s="35">
        <f>PERC_ISS</f>
        <v>5</v>
      </c>
      <c r="F92" s="64">
        <f>((MOD_1_REMUNERACAO_12X36_NOT+MOD_2_ENCARGOS_BENEFICIOS_12X36_NOT+MOD_3_PROVISAO_RESCISAO_12X36_NOT+MOD_4_CUSTO_REPOSICAO_12X36_NOT+MOD_5_INSUMOS_12X36_NOT+AL_6_A_CUSTOS_INDIRETOS_12X36_NOT+AL_6_B_LUCRO_12X36_NOT)*PERC_ISS%)/(1-PERC_TRIBUTOS%)</f>
        <v>547.09</v>
      </c>
    </row>
    <row r="93" spans="2:6" s="109" customFormat="1" x14ac:dyDescent="0.3">
      <c r="B93" s="184" t="s">
        <v>48</v>
      </c>
      <c r="C93" s="185"/>
      <c r="D93" s="185"/>
      <c r="E93" s="186"/>
      <c r="F93" s="41">
        <f>AL_6_A_CUSTOS_INDIRETOS_12X36_NOT+AL_6_B_LUCRO_12X36_NOT+AL_6_C_TRIBUTOS_12X36_NOT</f>
        <v>1901.51</v>
      </c>
    </row>
    <row r="94" spans="2:6" s="109" customFormat="1" ht="20.25" x14ac:dyDescent="0.3">
      <c r="B94" s="55" t="s">
        <v>55</v>
      </c>
      <c r="C94" s="19"/>
      <c r="D94" s="19"/>
      <c r="E94" s="19"/>
      <c r="F94" s="27"/>
    </row>
    <row r="95" spans="2:6" s="110" customFormat="1" ht="16.5" customHeight="1" x14ac:dyDescent="0.3">
      <c r="B95" s="2" t="s">
        <v>98</v>
      </c>
      <c r="C95" s="191" t="s">
        <v>99</v>
      </c>
      <c r="D95" s="192"/>
      <c r="E95" s="193"/>
      <c r="F95" s="5" t="s">
        <v>19</v>
      </c>
    </row>
    <row r="96" spans="2:6" s="109" customFormat="1" x14ac:dyDescent="0.3">
      <c r="B96" s="1">
        <v>1</v>
      </c>
      <c r="C96" s="202" t="s">
        <v>9</v>
      </c>
      <c r="D96" s="202"/>
      <c r="E96" s="202"/>
      <c r="F96" s="59">
        <f>MOD_1_REMUNERACAO_12X36_NOT</f>
        <v>4804.2700000000004</v>
      </c>
    </row>
    <row r="97" spans="2:6" s="111" customFormat="1" ht="16.5" customHeight="1" x14ac:dyDescent="0.3">
      <c r="B97" s="2">
        <v>2</v>
      </c>
      <c r="C97" s="203" t="s">
        <v>100</v>
      </c>
      <c r="D97" s="203"/>
      <c r="E97" s="203"/>
      <c r="F97" s="40">
        <f>MOD_2_ENCARGOS_BENEFICIOS_12X36_NOT</f>
        <v>3137.33</v>
      </c>
    </row>
    <row r="98" spans="2:6" s="111" customFormat="1" x14ac:dyDescent="0.3">
      <c r="B98" s="2">
        <v>3</v>
      </c>
      <c r="C98" s="202" t="s">
        <v>50</v>
      </c>
      <c r="D98" s="202"/>
      <c r="E98" s="202"/>
      <c r="F98" s="59">
        <f>MOD_3_PROVISAO_RESCISAO_12X36_NOT</f>
        <v>112.83</v>
      </c>
    </row>
    <row r="99" spans="2:6" s="111" customFormat="1" x14ac:dyDescent="0.3">
      <c r="B99" s="2">
        <v>4</v>
      </c>
      <c r="C99" s="203" t="s">
        <v>53</v>
      </c>
      <c r="D99" s="203"/>
      <c r="E99" s="203"/>
      <c r="F99" s="40">
        <f>MOD_4_CUSTO_REPOSICAO_12X36_NOT</f>
        <v>860.21</v>
      </c>
    </row>
    <row r="100" spans="2:6" s="111" customFormat="1" x14ac:dyDescent="0.3">
      <c r="B100" s="2">
        <v>5</v>
      </c>
      <c r="C100" s="202" t="s">
        <v>0</v>
      </c>
      <c r="D100" s="202"/>
      <c r="E100" s="202"/>
      <c r="F100" s="59">
        <f>MOD_5_INSUMOS_12X36_NOT</f>
        <v>125.67</v>
      </c>
    </row>
    <row r="101" spans="2:6" s="111" customFormat="1" x14ac:dyDescent="0.3">
      <c r="B101" s="2">
        <v>6</v>
      </c>
      <c r="C101" s="203" t="s">
        <v>22</v>
      </c>
      <c r="D101" s="203"/>
      <c r="E101" s="203"/>
      <c r="F101" s="40">
        <f>MOD_6_CUSTOS_IND_LUCRO_TRIB_12X36_NOT</f>
        <v>1901.51</v>
      </c>
    </row>
    <row r="102" spans="2:6" ht="16.5" customHeight="1" x14ac:dyDescent="0.3">
      <c r="B102" s="206" t="s">
        <v>101</v>
      </c>
      <c r="C102" s="206"/>
      <c r="D102" s="206"/>
      <c r="E102" s="206"/>
      <c r="F102" s="41">
        <f>SUM(F96:F101)</f>
        <v>10941.82</v>
      </c>
    </row>
    <row r="103" spans="2:6" ht="16.5" customHeight="1" x14ac:dyDescent="0.3">
      <c r="B103" s="206" t="s">
        <v>31</v>
      </c>
      <c r="C103" s="206"/>
      <c r="D103" s="206"/>
      <c r="E103" s="206"/>
      <c r="F103" s="41">
        <f>VALOR_TOTAL_EMPREGADO_12x36_NOT*EMPREG_POR_POSTO_12X36_NOT</f>
        <v>21883.64</v>
      </c>
    </row>
  </sheetData>
  <customSheetViews>
    <customSheetView guid="{E22B0E03-E710-4313-B9E5-0BFE52A7E677}" showPageBreaks="1" view="pageBreakPreview">
      <selection activeCell="B1" sqref="B1:F1"/>
      <pageMargins left="0.08" right="0.05" top="0.19685039370078741" bottom="0.15748031496062992" header="0.19685039370078741" footer="0.15748031496062992"/>
      <printOptions horizontalCentered="1"/>
      <pageSetup paperSize="9" orientation="portrait" r:id="rId1"/>
    </customSheetView>
  </customSheetViews>
  <mergeCells count="92">
    <mergeCell ref="C25:E25"/>
    <mergeCell ref="C33:D33"/>
    <mergeCell ref="B35:E35"/>
    <mergeCell ref="C38:D38"/>
    <mergeCell ref="C26:E26"/>
    <mergeCell ref="C27:E27"/>
    <mergeCell ref="C28:E28"/>
    <mergeCell ref="B29:E29"/>
    <mergeCell ref="C32:D32"/>
    <mergeCell ref="C34:D34"/>
    <mergeCell ref="B36:F36"/>
    <mergeCell ref="C37:D37"/>
    <mergeCell ref="C39:D39"/>
    <mergeCell ref="C42:D42"/>
    <mergeCell ref="C40:D40"/>
    <mergeCell ref="B60:E60"/>
    <mergeCell ref="B71:E71"/>
    <mergeCell ref="C68:D68"/>
    <mergeCell ref="C41:D41"/>
    <mergeCell ref="C48:E48"/>
    <mergeCell ref="C43:D43"/>
    <mergeCell ref="C44:D44"/>
    <mergeCell ref="C57:D57"/>
    <mergeCell ref="C81:E81"/>
    <mergeCell ref="C82:E82"/>
    <mergeCell ref="C50:E50"/>
    <mergeCell ref="C45:D45"/>
    <mergeCell ref="B46:E46"/>
    <mergeCell ref="C49:E49"/>
    <mergeCell ref="C73:E73"/>
    <mergeCell ref="C74:E74"/>
    <mergeCell ref="B75:E75"/>
    <mergeCell ref="C78:E78"/>
    <mergeCell ref="B54:E54"/>
    <mergeCell ref="C58:D58"/>
    <mergeCell ref="C51:E51"/>
    <mergeCell ref="C52:E52"/>
    <mergeCell ref="C53:E53"/>
    <mergeCell ref="C70:D70"/>
    <mergeCell ref="B103:E103"/>
    <mergeCell ref="C99:E99"/>
    <mergeCell ref="C95:E95"/>
    <mergeCell ref="B85:F85"/>
    <mergeCell ref="C86:D86"/>
    <mergeCell ref="B102:E102"/>
    <mergeCell ref="C98:E98"/>
    <mergeCell ref="C90:D90"/>
    <mergeCell ref="C88:D88"/>
    <mergeCell ref="B93:E93"/>
    <mergeCell ref="C100:E100"/>
    <mergeCell ref="C97:E97"/>
    <mergeCell ref="C89:D89"/>
    <mergeCell ref="C96:E96"/>
    <mergeCell ref="C11:E11"/>
    <mergeCell ref="D16:F16"/>
    <mergeCell ref="C21:E21"/>
    <mergeCell ref="C22:E22"/>
    <mergeCell ref="C24:E24"/>
    <mergeCell ref="C23:E23"/>
    <mergeCell ref="D15:F15"/>
    <mergeCell ref="B3:F3"/>
    <mergeCell ref="B4:F4"/>
    <mergeCell ref="B19:E19"/>
    <mergeCell ref="B5:C5"/>
    <mergeCell ref="D5:F5"/>
    <mergeCell ref="B6:C6"/>
    <mergeCell ref="B18:F18"/>
    <mergeCell ref="D6:E6"/>
    <mergeCell ref="B7:F7"/>
    <mergeCell ref="D9:F9"/>
    <mergeCell ref="C8:E8"/>
    <mergeCell ref="C14:D14"/>
    <mergeCell ref="C10:E10"/>
    <mergeCell ref="C12:E12"/>
    <mergeCell ref="E14:F14"/>
    <mergeCell ref="C17:E17"/>
    <mergeCell ref="B1:F1"/>
    <mergeCell ref="B2:D2"/>
    <mergeCell ref="C92:D92"/>
    <mergeCell ref="C101:E101"/>
    <mergeCell ref="C79:E79"/>
    <mergeCell ref="C80:E80"/>
    <mergeCell ref="B83:E83"/>
    <mergeCell ref="C91:D91"/>
    <mergeCell ref="C87:D87"/>
    <mergeCell ref="C59:D59"/>
    <mergeCell ref="C56:D56"/>
    <mergeCell ref="C66:D66"/>
    <mergeCell ref="C65:D65"/>
    <mergeCell ref="C64:D64"/>
    <mergeCell ref="C67:D67"/>
    <mergeCell ref="C69:D69"/>
  </mergeCells>
  <printOptions horizontalCentered="1"/>
  <pageMargins left="0.08" right="0.05" top="0.19685039370078741" bottom="0.15748031496062992" header="0.19685039370078741" footer="0.15748031496062992"/>
  <pageSetup paperSize="9" orientation="portrait" r:id="rId2"/>
  <ignoredErrors>
    <ignoredError sqref="B1:F1 B14:F15 B3:F4 B7:F8 B2:F2 B10:F11 B9:C9 C16:F17 B12:E12 D5:F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23"/>
  <sheetViews>
    <sheetView tabSelected="1" topLeftCell="A10" zoomScaleNormal="100" zoomScaleSheetLayoutView="100" workbookViewId="0">
      <selection activeCell="G18" sqref="G18"/>
    </sheetView>
  </sheetViews>
  <sheetFormatPr defaultColWidth="9.140625" defaultRowHeight="14.25" x14ac:dyDescent="0.25"/>
  <cols>
    <col min="1" max="1" width="1.7109375" style="116" customWidth="1"/>
    <col min="2" max="2" width="6" style="116" customWidth="1"/>
    <col min="3" max="3" width="36.85546875" style="116" customWidth="1"/>
    <col min="4" max="4" width="16.28515625" style="116" customWidth="1"/>
    <col min="5" max="5" width="16.140625" style="116" customWidth="1"/>
    <col min="6" max="6" width="15.7109375" style="116" customWidth="1"/>
    <col min="7" max="7" width="15" style="116" customWidth="1"/>
    <col min="8" max="16384" width="9.140625" style="116"/>
  </cols>
  <sheetData>
    <row r="1" spans="2:7" s="17" customFormat="1" ht="20.25" x14ac:dyDescent="0.35">
      <c r="B1" s="217" t="str">
        <f>RAMO</f>
        <v xml:space="preserve">RAMO: CONSELHO NACIONAL DO MINISTÉRIO PÚBLICO </v>
      </c>
      <c r="C1" s="218"/>
      <c r="D1" s="218"/>
      <c r="E1" s="218"/>
      <c r="F1" s="219"/>
    </row>
    <row r="2" spans="2:7" s="17" customFormat="1" ht="20.25" x14ac:dyDescent="0.35">
      <c r="B2" s="220" t="str">
        <f>UG</f>
        <v>UNIDADE GESTORA (SIGLA): CNMP</v>
      </c>
      <c r="C2" s="221"/>
      <c r="D2" s="222"/>
      <c r="E2" s="114" t="s">
        <v>58</v>
      </c>
      <c r="F2" s="115" t="str">
        <f>DATA_APRESENTACAO_PROPOSTA</f>
        <v>XX/XX/20XX</v>
      </c>
    </row>
    <row r="3" spans="2:7" s="17" customFormat="1" ht="8.25" customHeight="1" x14ac:dyDescent="0.3">
      <c r="B3" s="99"/>
      <c r="C3" s="99"/>
      <c r="D3" s="99"/>
      <c r="E3" s="99"/>
      <c r="F3" s="99"/>
    </row>
    <row r="4" spans="2:7" s="17" customFormat="1" ht="20.25" x14ac:dyDescent="0.3">
      <c r="B4" s="241" t="s">
        <v>24</v>
      </c>
      <c r="C4" s="241"/>
      <c r="D4" s="241"/>
      <c r="E4" s="241"/>
      <c r="F4" s="241"/>
      <c r="G4" s="241"/>
    </row>
    <row r="5" spans="2:7" s="17" customFormat="1" ht="57.75" customHeight="1" x14ac:dyDescent="0.3">
      <c r="B5" s="1" t="s">
        <v>30</v>
      </c>
      <c r="C5" s="3" t="s">
        <v>29</v>
      </c>
      <c r="D5" s="2" t="s">
        <v>185</v>
      </c>
      <c r="E5" s="2" t="s">
        <v>147</v>
      </c>
      <c r="F5" s="2" t="s">
        <v>32</v>
      </c>
      <c r="G5" s="5" t="s">
        <v>148</v>
      </c>
    </row>
    <row r="6" spans="2:7" s="17" customFormat="1" ht="33" x14ac:dyDescent="0.3">
      <c r="B6" s="1" t="s">
        <v>12</v>
      </c>
      <c r="C6" s="74" t="str">
        <f>POSTO_12X36_DIU</f>
        <v>Bombeiro Civil Masculino e Feminino 12x36 horas - diurno</v>
      </c>
      <c r="D6" s="9" t="str">
        <f>IF(LOCAL_DE_EXECUCAO="","",LOCAL_DE_EXECUCAO)</f>
        <v/>
      </c>
      <c r="E6" s="9">
        <f>IF(QTDE_DE_POSTOS_12X36_DIU=0,"",QTDE_DE_POSTOS_12X36_DIU)</f>
        <v>2</v>
      </c>
      <c r="F6" s="10">
        <f>IF(VALOR_TOTAL_POSTO_12x36_DIU=0,"",VALOR_TOTAL_POSTO_12x36_DIU)</f>
        <v>19725.16</v>
      </c>
      <c r="G6" s="11">
        <f>IF(QTDE_DE_POSTOS_12X36_DIU=0,"",E6*F6)</f>
        <v>39450.32</v>
      </c>
    </row>
    <row r="7" spans="2:7" s="17" customFormat="1" ht="33" x14ac:dyDescent="0.3">
      <c r="B7" s="2" t="s">
        <v>28</v>
      </c>
      <c r="C7" s="75" t="str">
        <f>POSTO_12X36_NOT</f>
        <v>Bombeiro Civil Masculino 12x36 horas - noturno</v>
      </c>
      <c r="D7" s="12" t="str">
        <f>IF(LOCAL_DE_EXECUCAO="","",LOCAL_DE_EXECUCAO)</f>
        <v/>
      </c>
      <c r="E7" s="12">
        <f>IF(QTDE_DE_POSTOS_12X36_NOT=0,"",QTDE_DE_POSTOS_12X36_NOT)</f>
        <v>1</v>
      </c>
      <c r="F7" s="13">
        <f>IF(VALOR_TOTAL_POSTO_12x36_NOT=0,"",VALOR_TOTAL_POSTO_12x36_NOT)</f>
        <v>21883.64</v>
      </c>
      <c r="G7" s="14">
        <f>IF(QTDE_DE_POSTOS_12X36_NOT=0,"",E7*F7)</f>
        <v>21883.64</v>
      </c>
    </row>
    <row r="8" spans="2:7" s="17" customFormat="1" ht="16.5" customHeight="1" x14ac:dyDescent="0.3">
      <c r="B8" s="191" t="s">
        <v>33</v>
      </c>
      <c r="C8" s="192"/>
      <c r="D8" s="193"/>
      <c r="E8" s="6">
        <f>IF(SUM(E6:E7)=0,"",SUM(E6:E7))</f>
        <v>3</v>
      </c>
      <c r="F8" s="7"/>
      <c r="G8" s="8">
        <f>IF(SUM(G6:G7)=0,"",SUM(G6:G7))</f>
        <v>61333.96</v>
      </c>
    </row>
    <row r="10" spans="2:7" s="17" customFormat="1" ht="20.25" x14ac:dyDescent="0.3">
      <c r="B10" s="92" t="s">
        <v>152</v>
      </c>
      <c r="C10" s="92"/>
      <c r="D10" s="92"/>
      <c r="E10" s="92"/>
      <c r="F10" s="92"/>
    </row>
    <row r="11" spans="2:7" ht="82.5" x14ac:dyDescent="0.25">
      <c r="B11" s="239" t="s">
        <v>146</v>
      </c>
      <c r="C11" s="240"/>
      <c r="D11" s="2" t="str">
        <f>POSTO_12X36_DIU</f>
        <v>Bombeiro Civil Masculino e Feminino 12x36 horas - diurno</v>
      </c>
      <c r="E11" s="2" t="str">
        <f>POSTO_12X36_NOT</f>
        <v>Bombeiro Civil Masculino 12x36 horas - noturno</v>
      </c>
    </row>
    <row r="12" spans="2:7" ht="16.5" x14ac:dyDescent="0.25">
      <c r="B12" s="246" t="s">
        <v>150</v>
      </c>
      <c r="C12" s="247"/>
      <c r="D12" s="70">
        <f>IF(SUBMOD_2_1_DEC_TERC_ADIC_FERIAS_12X36_DIU+SUBMOD_2_2_GPS_FGTS_12X36_DIU+MOD_3_PROVISAO_RESCISAO_12X36_DIU+SUBMOD_4_1_SUBSTITUTO_12X36_DIU=0,"",SUBMOD_2_1_DEC_TERC_ADIC_FERIAS_12X36_DIU+SUBMOD_2_2_GPS_FGTS_12X36_DIU+MOD_3_PROVISAO_RESCISAO_12X36_DIU+SUBMOD_4_1_SUBSTITUTO_12X36_DIU)</f>
        <v>3102.1</v>
      </c>
      <c r="E12" s="70">
        <f>IF(SUBMOD_2_1_DEC_TERC_ADIC_FERIAS_12X36_NOT+SUBMOD_2_2_GPS_FGTS_12X36_NOT+MOD_3_PROVISAO_RESCISAO_12X36_NOT+SUBMOD_4_1_SUBSTITUTO_12X36_NOT=0,"",SUBMOD_2_1_DEC_TERC_ADIC_FERIAS_12X36_NOT+SUBMOD_2_2_GPS_FGTS_12X36_NOT+MOD_3_PROVISAO_RESCISAO_12X36_NOT+SUBMOD_4_1_SUBSTITUTO_12X36_NOT)</f>
        <v>3471.2</v>
      </c>
    </row>
    <row r="13" spans="2:7" ht="16.5" x14ac:dyDescent="0.25">
      <c r="B13" s="143" t="s">
        <v>149</v>
      </c>
      <c r="C13" s="145"/>
      <c r="D13" s="71">
        <f>IF(MOD_1_REMUNERACAO_12X36_DIU=0,"",MOD_1_REMUNERACAO_12X36_DIU)</f>
        <v>4281.67</v>
      </c>
      <c r="E13" s="71">
        <f>IF(MOD_1_REMUNERACAO_12X36_NOT=0,"",MOD_1_REMUNERACAO_12X36_NOT)</f>
        <v>4804.2700000000004</v>
      </c>
    </row>
    <row r="14" spans="2:7" ht="33.75" customHeight="1" x14ac:dyDescent="0.25">
      <c r="B14" s="229" t="s">
        <v>207</v>
      </c>
      <c r="C14" s="230"/>
      <c r="D14" s="69">
        <f>IF(IFERROR(D12/D13,0)=0,"",IFERROR(D12/D13,0))</f>
        <v>0.72450000000000003</v>
      </c>
      <c r="E14" s="69">
        <f>IF(IFERROR(E12/E13,0)=0,"",IFERROR(E12/E13,0))</f>
        <v>0.72250000000000003</v>
      </c>
    </row>
    <row r="15" spans="2:7" x14ac:dyDescent="0.25">
      <c r="B15" s="117" t="s">
        <v>151</v>
      </c>
      <c r="C15" s="117"/>
      <c r="D15" s="117"/>
    </row>
    <row r="17" spans="2:6" s="17" customFormat="1" ht="20.25" x14ac:dyDescent="0.3">
      <c r="B17" s="92" t="s">
        <v>182</v>
      </c>
      <c r="C17" s="92"/>
      <c r="D17" s="92"/>
      <c r="E17" s="92"/>
      <c r="F17" s="92"/>
    </row>
    <row r="18" spans="2:6" ht="82.5" x14ac:dyDescent="0.25">
      <c r="B18" s="239" t="s">
        <v>146</v>
      </c>
      <c r="C18" s="240"/>
      <c r="D18" s="2" t="str">
        <f>POSTO_12X36_DIU</f>
        <v>Bombeiro Civil Masculino e Feminino 12x36 horas - diurno</v>
      </c>
      <c r="E18" s="2" t="str">
        <f>POSTO_12X36_NOT</f>
        <v>Bombeiro Civil Masculino 12x36 horas - noturno</v>
      </c>
    </row>
    <row r="19" spans="2:6" s="117" customFormat="1" ht="16.5" x14ac:dyDescent="0.25">
      <c r="B19" s="242" t="s">
        <v>183</v>
      </c>
      <c r="C19" s="243"/>
      <c r="D19" s="84">
        <f>IF(VALOR_TOTAL_POSTO_12x36_DIU=0,"",VALOR_TOTAL_POSTO_12x36_DIU)</f>
        <v>19725.16</v>
      </c>
      <c r="E19" s="84">
        <f>IF(VALOR_TOTAL_POSTO_12x36_NOT=0,"",VALOR_TOTAL_POSTO_12x36_NOT)</f>
        <v>21883.64</v>
      </c>
    </row>
    <row r="20" spans="2:6" ht="33" customHeight="1" x14ac:dyDescent="0.25">
      <c r="B20" s="244" t="s">
        <v>190</v>
      </c>
      <c r="C20" s="245"/>
      <c r="D20" s="14" t="str">
        <f>IF(SUMIF('LIMITES-SEGES'!$A:$A,'INSERÇÃO-DE-DADOS'!$F$13,'LIMITES-SEGES'!C:C)=0,"",SUMIF('LIMITES-SEGES'!$A:$A,'INSERÇÃO-DE-DADOS'!$F$13,'LIMITES-SEGES'!C:C))</f>
        <v/>
      </c>
      <c r="E20" s="14" t="str">
        <f>IF(SUMIF('LIMITES-SEGES'!$A:$A,'INSERÇÃO-DE-DADOS'!$F$13,'LIMITES-SEGES'!E:E)=0,"",SUMIF('LIMITES-SEGES'!$A:$A,'INSERÇÃO-DE-DADOS'!$F$13,'LIMITES-SEGES'!E:E))</f>
        <v/>
      </c>
    </row>
    <row r="21" spans="2:6" ht="70.5" customHeight="1" x14ac:dyDescent="0.25">
      <c r="B21" s="229" t="s">
        <v>192</v>
      </c>
      <c r="C21" s="230"/>
      <c r="D21" s="69" t="str">
        <f>IF(D19="","Não se aplica.",IF(D20&lt;=D19,"SIM, está em conformidade.", "NÃO, é inferior."))</f>
        <v>NÃO, é inferior.</v>
      </c>
      <c r="E21" s="69" t="str">
        <f>IF(E19="","Não se aplica.",IF(E20&lt;=E19,"SIM, está em conformidade.", "NÃO, é inferior."))</f>
        <v>NÃO, é inferior.</v>
      </c>
    </row>
    <row r="22" spans="2:6" ht="34.5" customHeight="1" x14ac:dyDescent="0.25">
      <c r="B22" s="248" t="s">
        <v>191</v>
      </c>
      <c r="C22" s="249"/>
      <c r="D22" s="58" t="str">
        <f>IF(SUMIF('LIMITES-SEGES'!$A:$A,'INSERÇÃO-DE-DADOS'!$F$13,'LIMITES-SEGES'!D:D)=0,"",SUMIF('LIMITES-SEGES'!$A:$A,'INSERÇÃO-DE-DADOS'!$F$13,'LIMITES-SEGES'!D:D))</f>
        <v/>
      </c>
      <c r="E22" s="58" t="str">
        <f>IF(SUMIF('LIMITES-SEGES'!$A:$A,'INSERÇÃO-DE-DADOS'!$F$13,'LIMITES-SEGES'!F:F)=0,"",SUMIF('LIMITES-SEGES'!$A:$A,'INSERÇÃO-DE-DADOS'!$F$13,'LIMITES-SEGES'!F:F))</f>
        <v/>
      </c>
    </row>
    <row r="23" spans="2:6" ht="69.75" customHeight="1" x14ac:dyDescent="0.25">
      <c r="B23" s="229" t="s">
        <v>193</v>
      </c>
      <c r="C23" s="230"/>
      <c r="D23" s="69" t="str">
        <f>IF(D19="","Não se aplica.",IF(D22&lt;=D21,"SIM, está em conformidade.", "NÃO, é inferior."))</f>
        <v>SIM, está em conformidade.</v>
      </c>
      <c r="E23" s="69" t="str">
        <f>IF(E19="","Não se aplica.",IF(E22&lt;=E21,"SIM, está em conformidade.", "NÃO, é inferior."))</f>
        <v>SIM, está em conformidade.</v>
      </c>
    </row>
  </sheetData>
  <customSheetViews>
    <customSheetView guid="{E22B0E03-E710-4313-B9E5-0BFE52A7E677}" showPageBreaks="1" view="pageBreakPreview">
      <selection activeCell="C12" sqref="C12"/>
      <pageMargins left="0.51181102362204722" right="0.51181102362204722" top="0.47" bottom="0.78740157480314965" header="0.31496062992125984" footer="0.31496062992125984"/>
      <printOptions horizontalCentered="1"/>
      <pageSetup paperSize="9" orientation="portrait" r:id="rId1"/>
    </customSheetView>
  </customSheetViews>
  <mergeCells count="14">
    <mergeCell ref="B18:C18"/>
    <mergeCell ref="B19:C19"/>
    <mergeCell ref="B20:C20"/>
    <mergeCell ref="B23:C23"/>
    <mergeCell ref="B12:C12"/>
    <mergeCell ref="B13:C13"/>
    <mergeCell ref="B14:C14"/>
    <mergeCell ref="B22:C22"/>
    <mergeCell ref="B21:C21"/>
    <mergeCell ref="B1:F1"/>
    <mergeCell ref="B2:D2"/>
    <mergeCell ref="B8:D8"/>
    <mergeCell ref="B11:C11"/>
    <mergeCell ref="B4:G4"/>
  </mergeCells>
  <printOptions horizontalCentered="1"/>
  <pageMargins left="0.17" right="0.17" top="0.47" bottom="0.78740157480314965" header="0.31496062992125984" footer="0.31496062992125984"/>
  <pageSetup paperSize="9" orientation="portrait" r:id="rId2"/>
  <ignoredErrors>
    <ignoredError sqref="B1:F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5"/>
  <sheetViews>
    <sheetView topLeftCell="A4" workbookViewId="0">
      <selection activeCell="M22" sqref="M22"/>
    </sheetView>
  </sheetViews>
  <sheetFormatPr defaultColWidth="9.140625" defaultRowHeight="16.5" x14ac:dyDescent="0.3"/>
  <cols>
    <col min="1" max="1" width="9.140625" style="73"/>
    <col min="2" max="2" width="13.5703125" style="73" customWidth="1"/>
    <col min="3" max="4" width="14.140625" style="73" customWidth="1"/>
    <col min="5" max="8" width="13.28515625" style="73" customWidth="1"/>
    <col min="9" max="16384" width="9.140625" style="73"/>
  </cols>
  <sheetData>
    <row r="1" spans="1:11" x14ac:dyDescent="0.3">
      <c r="H1" s="83" t="s">
        <v>184</v>
      </c>
    </row>
    <row r="2" spans="1:11" ht="15" customHeight="1" x14ac:dyDescent="0.3">
      <c r="A2" s="252" t="s">
        <v>153</v>
      </c>
      <c r="B2" s="261" t="s">
        <v>204</v>
      </c>
      <c r="C2" s="255" t="str">
        <f>POSTO_12X36_DIU</f>
        <v>Bombeiro Civil Masculino e Feminino 12x36 horas - diurno</v>
      </c>
      <c r="D2" s="256"/>
      <c r="E2" s="259" t="str">
        <f>POSTO_12X36_NOT</f>
        <v>Bombeiro Civil Masculino 12x36 horas - noturno</v>
      </c>
      <c r="F2" s="256"/>
      <c r="G2" s="259">
        <f>POSTO_44H</f>
        <v>0</v>
      </c>
      <c r="H2" s="256"/>
    </row>
    <row r="3" spans="1:11" x14ac:dyDescent="0.3">
      <c r="A3" s="253"/>
      <c r="B3" s="262"/>
      <c r="C3" s="257"/>
      <c r="D3" s="258"/>
      <c r="E3" s="260"/>
      <c r="F3" s="258"/>
      <c r="G3" s="260"/>
      <c r="H3" s="258"/>
    </row>
    <row r="4" spans="1:11" ht="30.75" customHeight="1" x14ac:dyDescent="0.3">
      <c r="A4" s="254"/>
      <c r="B4" s="263"/>
      <c r="C4" s="82" t="s">
        <v>188</v>
      </c>
      <c r="D4" s="82" t="s">
        <v>189</v>
      </c>
      <c r="E4" s="82" t="s">
        <v>188</v>
      </c>
      <c r="F4" s="82" t="s">
        <v>189</v>
      </c>
      <c r="G4" s="82" t="s">
        <v>188</v>
      </c>
      <c r="H4" s="82" t="s">
        <v>189</v>
      </c>
    </row>
    <row r="5" spans="1:11" x14ac:dyDescent="0.3">
      <c r="A5" s="4" t="s">
        <v>154</v>
      </c>
      <c r="B5" s="90">
        <v>43805</v>
      </c>
      <c r="C5" s="11">
        <v>8597.41</v>
      </c>
      <c r="D5" s="11">
        <v>9342.48</v>
      </c>
      <c r="E5" s="11">
        <v>10191.24</v>
      </c>
      <c r="F5" s="11">
        <v>11075.61</v>
      </c>
      <c r="G5" s="11">
        <v>4829.51</v>
      </c>
      <c r="H5" s="11">
        <v>5301.05</v>
      </c>
    </row>
    <row r="6" spans="1:11" x14ac:dyDescent="0.3">
      <c r="A6" s="4" t="s">
        <v>155</v>
      </c>
      <c r="B6" s="90">
        <v>43690</v>
      </c>
      <c r="C6" s="14">
        <v>8111.4</v>
      </c>
      <c r="D6" s="14">
        <v>8815.7800000000007</v>
      </c>
      <c r="E6" s="14">
        <v>9145.9500000000007</v>
      </c>
      <c r="F6" s="14">
        <v>9940.84</v>
      </c>
      <c r="G6" s="14">
        <v>4456.3100000000004</v>
      </c>
      <c r="H6" s="14">
        <v>4892.59</v>
      </c>
    </row>
    <row r="7" spans="1:11" x14ac:dyDescent="0.3">
      <c r="A7" s="4" t="s">
        <v>156</v>
      </c>
      <c r="B7" s="90">
        <v>43805</v>
      </c>
      <c r="C7" s="11">
        <v>9315.82</v>
      </c>
      <c r="D7" s="11">
        <v>10127.92</v>
      </c>
      <c r="E7" s="11">
        <v>11217.83</v>
      </c>
      <c r="F7" s="11">
        <v>12197.44</v>
      </c>
      <c r="G7" s="11">
        <v>5141.26</v>
      </c>
      <c r="H7" s="11">
        <v>5646.04</v>
      </c>
    </row>
    <row r="8" spans="1:11" x14ac:dyDescent="0.3">
      <c r="A8" s="4" t="s">
        <v>157</v>
      </c>
      <c r="B8" s="90">
        <v>43207</v>
      </c>
      <c r="C8" s="14">
        <v>10997.4</v>
      </c>
      <c r="D8" s="14">
        <v>11939.6</v>
      </c>
      <c r="E8" s="14">
        <v>13109.73</v>
      </c>
      <c r="F8" s="14">
        <v>14233.8</v>
      </c>
      <c r="G8" s="14">
        <v>6073.35</v>
      </c>
      <c r="H8" s="14">
        <v>6660.79</v>
      </c>
    </row>
    <row r="9" spans="1:11" x14ac:dyDescent="0.3">
      <c r="A9" s="4" t="s">
        <v>158</v>
      </c>
      <c r="B9" s="90">
        <v>43461</v>
      </c>
      <c r="C9" s="11">
        <v>7937.26</v>
      </c>
      <c r="D9" s="11">
        <v>8619.73</v>
      </c>
      <c r="E9" s="11">
        <v>10244.790000000001</v>
      </c>
      <c r="F9" s="11">
        <v>11126.33</v>
      </c>
      <c r="G9" s="11">
        <v>4311.59</v>
      </c>
      <c r="H9" s="11">
        <v>4730.09</v>
      </c>
    </row>
    <row r="10" spans="1:11" x14ac:dyDescent="0.3">
      <c r="A10" s="4" t="s">
        <v>159</v>
      </c>
      <c r="B10" s="90">
        <v>43643</v>
      </c>
      <c r="C10" s="14">
        <v>9375.2099999999991</v>
      </c>
      <c r="D10" s="14">
        <v>10191.74</v>
      </c>
      <c r="E10" s="14">
        <v>11317.42</v>
      </c>
      <c r="F10" s="14">
        <v>12304.64</v>
      </c>
      <c r="G10" s="14">
        <v>5213.41</v>
      </c>
      <c r="H10" s="14">
        <v>5724.81</v>
      </c>
    </row>
    <row r="11" spans="1:11" x14ac:dyDescent="0.3">
      <c r="A11" s="4" t="s">
        <v>160</v>
      </c>
      <c r="B11" s="90">
        <v>42595</v>
      </c>
      <c r="C11" s="11">
        <v>15100.54</v>
      </c>
      <c r="D11" s="11">
        <v>16201.63</v>
      </c>
      <c r="E11" s="11">
        <v>16451.59</v>
      </c>
      <c r="F11" s="11">
        <v>18025.95</v>
      </c>
      <c r="G11" s="11">
        <v>7914.2</v>
      </c>
      <c r="H11" s="11">
        <v>8522.8700000000008</v>
      </c>
    </row>
    <row r="12" spans="1:11" x14ac:dyDescent="0.3">
      <c r="A12" s="4" t="s">
        <v>161</v>
      </c>
      <c r="B12" s="90">
        <v>43207</v>
      </c>
      <c r="C12" s="14">
        <v>10354.98</v>
      </c>
      <c r="D12" s="14">
        <v>11246.17</v>
      </c>
      <c r="E12" s="14">
        <v>12367.31</v>
      </c>
      <c r="F12" s="14">
        <v>13433.22</v>
      </c>
      <c r="G12" s="14">
        <v>5677.47</v>
      </c>
      <c r="H12" s="14">
        <v>6228.76</v>
      </c>
    </row>
    <row r="13" spans="1:11" x14ac:dyDescent="0.3">
      <c r="A13" s="4" t="s">
        <v>162</v>
      </c>
      <c r="B13" s="90">
        <v>43643</v>
      </c>
      <c r="C13" s="11">
        <v>9839.65</v>
      </c>
      <c r="D13" s="11">
        <v>10701.94</v>
      </c>
      <c r="E13" s="11">
        <v>10856.17</v>
      </c>
      <c r="F13" s="11">
        <v>11808.22</v>
      </c>
      <c r="G13" s="11">
        <v>5443.98</v>
      </c>
      <c r="H13" s="11">
        <v>5980.98</v>
      </c>
    </row>
    <row r="14" spans="1:11" x14ac:dyDescent="0.3">
      <c r="A14" s="4" t="s">
        <v>163</v>
      </c>
      <c r="B14" s="90">
        <v>43805</v>
      </c>
      <c r="C14" s="14">
        <v>8291.56</v>
      </c>
      <c r="D14" s="14">
        <v>9008.01</v>
      </c>
      <c r="E14" s="14">
        <v>9889.77</v>
      </c>
      <c r="F14" s="14">
        <v>10745.13</v>
      </c>
      <c r="G14" s="14">
        <v>4586.6499999999996</v>
      </c>
      <c r="H14" s="14">
        <v>5033.6400000000003</v>
      </c>
    </row>
    <row r="15" spans="1:11" x14ac:dyDescent="0.3">
      <c r="A15" s="4" t="s">
        <v>164</v>
      </c>
      <c r="B15" s="90">
        <v>43690</v>
      </c>
      <c r="C15" s="11">
        <v>12397.9</v>
      </c>
      <c r="D15" s="11">
        <v>13479.96</v>
      </c>
      <c r="E15" s="11">
        <v>14886.74</v>
      </c>
      <c r="F15" s="11">
        <v>16188.01</v>
      </c>
      <c r="G15" s="11">
        <v>6780.84</v>
      </c>
      <c r="H15" s="11">
        <v>7447.73</v>
      </c>
      <c r="K15" s="139"/>
    </row>
    <row r="16" spans="1:11" x14ac:dyDescent="0.3">
      <c r="A16" s="4" t="s">
        <v>165</v>
      </c>
      <c r="B16" s="90">
        <v>43349</v>
      </c>
      <c r="C16" s="14">
        <v>9332.23</v>
      </c>
      <c r="D16" s="14">
        <v>10140.01</v>
      </c>
      <c r="E16" s="14">
        <v>11068.79</v>
      </c>
      <c r="F16" s="14">
        <v>12028.09</v>
      </c>
      <c r="G16" s="14">
        <v>5192.12</v>
      </c>
      <c r="H16" s="14">
        <v>5698.6</v>
      </c>
      <c r="K16" s="138"/>
    </row>
    <row r="17" spans="1:11" x14ac:dyDescent="0.3">
      <c r="A17" s="4" t="s">
        <v>166</v>
      </c>
      <c r="B17" s="90">
        <v>43643</v>
      </c>
      <c r="C17" s="11">
        <v>8915.7999999999993</v>
      </c>
      <c r="D17" s="11">
        <v>9697.58</v>
      </c>
      <c r="E17" s="11">
        <v>10517.71</v>
      </c>
      <c r="F17" s="11">
        <v>11441.67</v>
      </c>
      <c r="G17" s="11">
        <v>4954.66</v>
      </c>
      <c r="H17" s="11">
        <v>5443.52</v>
      </c>
      <c r="K17" s="139"/>
    </row>
    <row r="18" spans="1:11" x14ac:dyDescent="0.3">
      <c r="A18" s="4" t="s">
        <v>167</v>
      </c>
      <c r="B18" s="90">
        <v>43761</v>
      </c>
      <c r="C18" s="14">
        <v>9587.27</v>
      </c>
      <c r="D18" s="14">
        <v>10426.1</v>
      </c>
      <c r="E18" s="14">
        <v>11450.32</v>
      </c>
      <c r="F18" s="14">
        <v>12453.27</v>
      </c>
      <c r="G18" s="14">
        <v>5218.6099999999997</v>
      </c>
      <c r="H18" s="14">
        <v>5732.86</v>
      </c>
      <c r="K18" s="138"/>
    </row>
    <row r="19" spans="1:11" x14ac:dyDescent="0.3">
      <c r="A19" s="4" t="s">
        <v>168</v>
      </c>
      <c r="B19" s="90">
        <v>43690</v>
      </c>
      <c r="C19" s="11">
        <v>7417.46</v>
      </c>
      <c r="D19" s="11">
        <v>8070.34</v>
      </c>
      <c r="E19" s="11">
        <v>8845.77</v>
      </c>
      <c r="F19" s="11">
        <v>9625.39</v>
      </c>
      <c r="G19" s="11">
        <v>4105.37</v>
      </c>
      <c r="H19" s="11">
        <v>4511.84</v>
      </c>
      <c r="K19" s="139"/>
    </row>
    <row r="20" spans="1:11" x14ac:dyDescent="0.3">
      <c r="A20" s="4" t="s">
        <v>169</v>
      </c>
      <c r="B20" s="90">
        <v>43805</v>
      </c>
      <c r="C20" s="14">
        <v>8783.67</v>
      </c>
      <c r="D20" s="14">
        <v>9552</v>
      </c>
      <c r="E20" s="14">
        <v>10376.83</v>
      </c>
      <c r="F20" s="14">
        <v>11286.12</v>
      </c>
      <c r="G20" s="14">
        <v>4943.93</v>
      </c>
      <c r="H20" s="14">
        <v>5430.41</v>
      </c>
      <c r="K20" s="138"/>
    </row>
    <row r="21" spans="1:11" x14ac:dyDescent="0.3">
      <c r="A21" s="4" t="s">
        <v>170</v>
      </c>
      <c r="B21" s="90">
        <v>42989</v>
      </c>
      <c r="C21" s="11">
        <v>8677.7800000000007</v>
      </c>
      <c r="D21" s="11">
        <v>9501.3700000000008</v>
      </c>
      <c r="E21" s="11">
        <v>12066.94</v>
      </c>
      <c r="F21" s="11">
        <v>14172.44</v>
      </c>
      <c r="G21" s="11">
        <v>4448.13</v>
      </c>
      <c r="H21" s="11">
        <v>4889.71</v>
      </c>
    </row>
    <row r="22" spans="1:11" x14ac:dyDescent="0.3">
      <c r="A22" s="4" t="s">
        <v>171</v>
      </c>
      <c r="B22" s="90">
        <v>43643</v>
      </c>
      <c r="C22" s="14">
        <v>12261.66</v>
      </c>
      <c r="D22" s="14">
        <v>13340.87</v>
      </c>
      <c r="E22" s="14">
        <v>14577.88</v>
      </c>
      <c r="F22" s="14">
        <v>15862.82</v>
      </c>
      <c r="G22" s="14">
        <v>6768.04</v>
      </c>
      <c r="H22" s="14">
        <v>7438.22</v>
      </c>
    </row>
    <row r="23" spans="1:11" x14ac:dyDescent="0.3">
      <c r="A23" s="4" t="s">
        <v>172</v>
      </c>
      <c r="B23" s="90">
        <v>43287</v>
      </c>
      <c r="C23" s="11">
        <v>9779.4599999999991</v>
      </c>
      <c r="D23" s="11">
        <v>10630.1</v>
      </c>
      <c r="E23" s="11">
        <v>11676</v>
      </c>
      <c r="F23" s="11">
        <v>12692.64</v>
      </c>
      <c r="G23" s="11">
        <v>5371.45</v>
      </c>
      <c r="H23" s="11">
        <v>5897.91</v>
      </c>
    </row>
    <row r="24" spans="1:11" x14ac:dyDescent="0.3">
      <c r="A24" s="4" t="s">
        <v>173</v>
      </c>
      <c r="B24" s="90">
        <v>43643</v>
      </c>
      <c r="C24" s="14">
        <v>9400.85</v>
      </c>
      <c r="D24" s="14">
        <v>10228.959999999999</v>
      </c>
      <c r="E24" s="14">
        <v>11261.97</v>
      </c>
      <c r="F24" s="14">
        <v>12255.04</v>
      </c>
      <c r="G24" s="14">
        <v>5144.09</v>
      </c>
      <c r="H24" s="14">
        <v>5654.09</v>
      </c>
    </row>
    <row r="25" spans="1:11" x14ac:dyDescent="0.3">
      <c r="A25" s="4" t="s">
        <v>174</v>
      </c>
      <c r="B25" s="90">
        <v>43287</v>
      </c>
      <c r="C25" s="11">
        <v>9176.75</v>
      </c>
      <c r="D25" s="11">
        <v>9972.15</v>
      </c>
      <c r="E25" s="11">
        <v>10170.83</v>
      </c>
      <c r="F25" s="11">
        <v>11053.19</v>
      </c>
      <c r="G25" s="11">
        <v>5148.58</v>
      </c>
      <c r="H25" s="11">
        <v>5651.21</v>
      </c>
    </row>
    <row r="26" spans="1:11" x14ac:dyDescent="0.3">
      <c r="A26" s="4" t="s">
        <v>175</v>
      </c>
      <c r="B26" s="90">
        <v>43280</v>
      </c>
      <c r="C26" s="14">
        <v>7408.92</v>
      </c>
      <c r="D26" s="14">
        <v>8049.8</v>
      </c>
      <c r="E26" s="14">
        <v>8792.52</v>
      </c>
      <c r="F26" s="14">
        <v>9554.01</v>
      </c>
      <c r="G26" s="14">
        <v>4100.8599999999997</v>
      </c>
      <c r="H26" s="14">
        <v>4500.66</v>
      </c>
    </row>
    <row r="27" spans="1:11" x14ac:dyDescent="0.3">
      <c r="A27" s="4" t="s">
        <v>176</v>
      </c>
      <c r="B27" s="90">
        <v>43805</v>
      </c>
      <c r="C27" s="11">
        <v>10253.43</v>
      </c>
      <c r="D27" s="11">
        <v>11160.84</v>
      </c>
      <c r="E27" s="11">
        <v>12264.88</v>
      </c>
      <c r="F27" s="11">
        <v>13351.59</v>
      </c>
      <c r="G27" s="11">
        <v>5631.93</v>
      </c>
      <c r="H27" s="11">
        <v>6192.41</v>
      </c>
    </row>
    <row r="28" spans="1:11" x14ac:dyDescent="0.3">
      <c r="A28" s="4" t="s">
        <v>177</v>
      </c>
      <c r="B28" s="90">
        <v>43805</v>
      </c>
      <c r="C28" s="14">
        <v>9937.31</v>
      </c>
      <c r="D28" s="14">
        <v>10815.6</v>
      </c>
      <c r="E28" s="14">
        <v>11855.37</v>
      </c>
      <c r="F28" s="14">
        <v>12904.6</v>
      </c>
      <c r="G28" s="14">
        <v>5485.7</v>
      </c>
      <c r="H28" s="14">
        <v>6030.85</v>
      </c>
    </row>
    <row r="29" spans="1:11" x14ac:dyDescent="0.3">
      <c r="A29" s="4" t="s">
        <v>178</v>
      </c>
      <c r="B29" s="90">
        <v>43339</v>
      </c>
      <c r="C29" s="11">
        <v>7795.56</v>
      </c>
      <c r="D29" s="11">
        <v>8470.73</v>
      </c>
      <c r="E29" s="11">
        <v>9355.6200000000008</v>
      </c>
      <c r="F29" s="11">
        <v>10166.450000000001</v>
      </c>
      <c r="G29" s="11">
        <v>4248.05</v>
      </c>
      <c r="H29" s="11">
        <v>4663.01</v>
      </c>
    </row>
    <row r="30" spans="1:11" x14ac:dyDescent="0.3">
      <c r="A30" s="4" t="s">
        <v>179</v>
      </c>
      <c r="B30" s="90">
        <v>43593</v>
      </c>
      <c r="C30" s="14">
        <v>10689.88</v>
      </c>
      <c r="D30" s="14">
        <v>11635.82</v>
      </c>
      <c r="E30" s="14">
        <v>12766.9</v>
      </c>
      <c r="F30" s="14">
        <v>13898.1</v>
      </c>
      <c r="G30" s="14">
        <v>5893.81</v>
      </c>
      <c r="H30" s="14">
        <v>6480.16</v>
      </c>
    </row>
    <row r="31" spans="1:11" x14ac:dyDescent="0.3">
      <c r="A31" s="4" t="s">
        <v>180</v>
      </c>
      <c r="B31" s="90">
        <v>43565</v>
      </c>
      <c r="C31" s="11">
        <v>10541.15</v>
      </c>
      <c r="D31" s="11">
        <v>11454.8</v>
      </c>
      <c r="E31" s="11">
        <v>12488.13</v>
      </c>
      <c r="F31" s="11">
        <v>13571.97</v>
      </c>
      <c r="G31" s="11">
        <v>5749.12</v>
      </c>
      <c r="H31" s="11">
        <v>6311.12</v>
      </c>
    </row>
    <row r="32" spans="1:11" x14ac:dyDescent="0.3">
      <c r="A32" s="264" t="s">
        <v>194</v>
      </c>
      <c r="B32" s="265"/>
      <c r="C32" s="91">
        <f>AVERAGE(C5:C31)</f>
        <v>9639.94</v>
      </c>
      <c r="D32" s="91">
        <f t="shared" ref="D32:H32" si="0">AVERAGE(D5:D31)</f>
        <v>10474.89</v>
      </c>
      <c r="E32" s="91">
        <f t="shared" si="0"/>
        <v>11452.41</v>
      </c>
      <c r="F32" s="91">
        <f t="shared" si="0"/>
        <v>12496.17</v>
      </c>
      <c r="G32" s="91">
        <f t="shared" si="0"/>
        <v>5290.11</v>
      </c>
      <c r="H32" s="91">
        <f t="shared" si="0"/>
        <v>5803.55</v>
      </c>
    </row>
    <row r="33" spans="1:8" x14ac:dyDescent="0.3">
      <c r="A33" s="250" t="s">
        <v>195</v>
      </c>
      <c r="B33" s="251"/>
      <c r="C33" s="91">
        <f>SMALL(C5:C31,27)</f>
        <v>15100.54</v>
      </c>
      <c r="D33" s="91">
        <f t="shared" ref="D33:H33" si="1">SMALL(D5:D31,27)</f>
        <v>16201.63</v>
      </c>
      <c r="E33" s="91">
        <f t="shared" si="1"/>
        <v>16451.59</v>
      </c>
      <c r="F33" s="91">
        <f t="shared" si="1"/>
        <v>18025.95</v>
      </c>
      <c r="G33" s="91">
        <f t="shared" si="1"/>
        <v>7914.2</v>
      </c>
      <c r="H33" s="91">
        <f t="shared" si="1"/>
        <v>8522.8700000000008</v>
      </c>
    </row>
    <row r="34" spans="1:8" x14ac:dyDescent="0.3">
      <c r="A34" s="250" t="s">
        <v>196</v>
      </c>
      <c r="B34" s="251"/>
      <c r="C34" s="91">
        <f>LARGE(C6:C32,27)</f>
        <v>7408.92</v>
      </c>
      <c r="D34" s="91">
        <f t="shared" ref="D34:H34" si="2">LARGE(D6:D32,27)</f>
        <v>8049.8</v>
      </c>
      <c r="E34" s="91">
        <f t="shared" si="2"/>
        <v>8792.52</v>
      </c>
      <c r="F34" s="91">
        <f t="shared" si="2"/>
        <v>9554.01</v>
      </c>
      <c r="G34" s="91">
        <f t="shared" si="2"/>
        <v>4100.8599999999997</v>
      </c>
      <c r="H34" s="91">
        <f t="shared" si="2"/>
        <v>4500.66</v>
      </c>
    </row>
    <row r="35" spans="1:8" x14ac:dyDescent="0.3">
      <c r="H35" s="83" t="s">
        <v>205</v>
      </c>
    </row>
  </sheetData>
  <sheetProtection sheet="1" objects="1" scenarios="1"/>
  <dataConsolidate/>
  <mergeCells count="8">
    <mergeCell ref="A34:B34"/>
    <mergeCell ref="A2:A4"/>
    <mergeCell ref="C2:D3"/>
    <mergeCell ref="E2:F3"/>
    <mergeCell ref="G2:H3"/>
    <mergeCell ref="B2:B4"/>
    <mergeCell ref="A32:B32"/>
    <mergeCell ref="A33:B3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152</vt:i4>
      </vt:variant>
    </vt:vector>
  </HeadingPairs>
  <TitlesOfParts>
    <vt:vector size="159" baseType="lpstr">
      <vt:lpstr>INSERÇÃO-DE-DADOS</vt:lpstr>
      <vt:lpstr>DADOS-ESTATISTICOS</vt:lpstr>
      <vt:lpstr>ENCARGOS-SOCIAIS-E-TRABALHISTAS</vt:lpstr>
      <vt:lpstr>POSTO 12x36 HORAS - DIURNO</vt:lpstr>
      <vt:lpstr>POSTO 12x36 HORAS - NOTURNO</vt:lpstr>
      <vt:lpstr>QUADRO-RESUMO</vt:lpstr>
      <vt:lpstr>LIMITES-SEGES</vt:lpstr>
      <vt:lpstr>ACORDO_COLETIVO</vt:lpstr>
      <vt:lpstr>AL_1_A_SAL_BASE_12X36_DIU</vt:lpstr>
      <vt:lpstr>AL_1_A_SAL_BASE_12X36_NOT</vt:lpstr>
      <vt:lpstr>AL_1_B_ADIC_PERIC_12X36_DIU</vt:lpstr>
      <vt:lpstr>AL_1_B_ADIC_PERIC_12X36_NOT</vt:lpstr>
      <vt:lpstr>AL_1_C_ADIC_NOT_12X36_NOT</vt:lpstr>
      <vt:lpstr>AL_1_D_ADIC_NOT_RED_12X36_NOT</vt:lpstr>
      <vt:lpstr>AL_2_1_A_DEC_TERC_12X36_DIU</vt:lpstr>
      <vt:lpstr>AL_2_1_A_DEC_TERC_12X36_NOT</vt:lpstr>
      <vt:lpstr>AL_2_1_B_ADIC_FERIAS_12X36_DIU</vt:lpstr>
      <vt:lpstr>AL_2_1_B_ADIC_FERIAS_12X36_NOT</vt:lpstr>
      <vt:lpstr>AL_2_2_FGTS_12X36_DIU</vt:lpstr>
      <vt:lpstr>AL_2_2_FGTS_12X36_NOT</vt:lpstr>
      <vt:lpstr>AL_2_3_A_TRANSP_12X36_DIU</vt:lpstr>
      <vt:lpstr>AL_2_3_A_TRANSP_12X36_NOT</vt:lpstr>
      <vt:lpstr>AL_2_3_B_AUX_ALIMENT_12X36_DIU</vt:lpstr>
      <vt:lpstr>AL_2_3_B_AUX_ALIMENT_12X36_NOT</vt:lpstr>
      <vt:lpstr>AL_2_3_C_OUTROS_BENEF_12X36_DIU</vt:lpstr>
      <vt:lpstr>AL_2_A_ATE_2_G_GPS_12X36_NOT</vt:lpstr>
      <vt:lpstr>AL_6_A_CUSTOS_INDIRETOS_12X36_DIU</vt:lpstr>
      <vt:lpstr>AL_6_A_CUSTOS_INDIRETOS_12X36_NOT</vt:lpstr>
      <vt:lpstr>AL_6_B_LUCRO_12X36_DIU</vt:lpstr>
      <vt:lpstr>AL_6_B_LUCRO_12X36_NOT</vt:lpstr>
      <vt:lpstr>AL_6_C_1_PIS_12X36_DIU</vt:lpstr>
      <vt:lpstr>AL_6_C_1_PIS_12X36_NOT</vt:lpstr>
      <vt:lpstr>AL_6_C_2_COFINS_12X36_DIU</vt:lpstr>
      <vt:lpstr>AL_6_C_2_COFINS_12X36_NOT</vt:lpstr>
      <vt:lpstr>AL_6_C_3_ISS_12X36_DIU</vt:lpstr>
      <vt:lpstr>AL_6_C_3_ISS_12X36_NOT</vt:lpstr>
      <vt:lpstr>AL_6_C_TRIBUTOS_12X36_DIU</vt:lpstr>
      <vt:lpstr>AL_6_C_TRIBUTOS_12X36_NOT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DIAS_TRABALHADOS_NO_MES_12X36</vt:lpstr>
      <vt:lpstr>DIAS_UTEIS_TRABALHADOS_NO_MES_44HORAS</vt:lpstr>
      <vt:lpstr>DIVISOR_DE_HORAS</vt:lpstr>
      <vt:lpstr>EMPREG_POR_POSTO_12X36_DIU</vt:lpstr>
      <vt:lpstr>EMPREG_POR_POSTO_12X36_NOT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MOD_1_REMUNERACAO_12X36_DIU</vt:lpstr>
      <vt:lpstr>MOD_1_REMUNERACAO_12X36_NOT</vt:lpstr>
      <vt:lpstr>MOD_3_PROVISAO_RESCISAO_12X36_DIU</vt:lpstr>
      <vt:lpstr>MOD_3_PROVISAO_RESCISAO_12X36_NOT</vt:lpstr>
      <vt:lpstr>MOD_5_INSUMOS_12X36_DIU</vt:lpstr>
      <vt:lpstr>MOD_5_INSUMOS_12X36_NOT</vt:lpstr>
      <vt:lpstr>MOD_6_CUSTOS_IND_LUCRO_TRIB_12X36_DIU</vt:lpstr>
      <vt:lpstr>MOD_6_CUSTOS_IND_LUCRO_TRIB_12X36_NOT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PERC_TRIBUTOS</vt:lpstr>
      <vt:lpstr>POSTO_12X36_DIU</vt:lpstr>
      <vt:lpstr>POSTO_12X36_NOT</vt:lpstr>
      <vt:lpstr>POSTO_44H</vt:lpstr>
      <vt:lpstr>QTDE_DE_POSTOS_12X36_DIU</vt:lpstr>
      <vt:lpstr>QTDE_DE_POSTOS_12X36_NOT</vt:lpstr>
      <vt:lpstr>QTDE_DE_POSTOS_44H</vt:lpstr>
      <vt:lpstr>RAMO</vt:lpstr>
      <vt:lpstr>SALARIO_BASE</vt:lpstr>
      <vt:lpstr>SUBMOD_2_1_DEC_TERC_ADIC_FERIAS_12X36_DIU</vt:lpstr>
      <vt:lpstr>SUBMOD_2_1_DEC_TERC_ADIC_FERIAS_12X36_NOT</vt:lpstr>
      <vt:lpstr>SUBMOD_2_2_GPS_FGTS_12X36_DIU</vt:lpstr>
      <vt:lpstr>SUBMOD_2_2_GPS_FGTS_12X36_NOT</vt:lpstr>
      <vt:lpstr>SUBMOD_2_3_BENEFICIOS_12X36_DIU</vt:lpstr>
      <vt:lpstr>SUBMOD_2_3_BENEFICIOS_12X36_NOT</vt:lpstr>
      <vt:lpstr>SUBMOD_4_1_SUBSTITUTO_12X36_DIU</vt:lpstr>
      <vt:lpstr>SUBMOD_4_1_SUBSTITUTO_12X36_NOT</vt:lpstr>
      <vt:lpstr>SUBMOD_4_2_INTRAJORNADA_12X36_DIU</vt:lpstr>
      <vt:lpstr>SUBMOD_4_2_INTRAJORNADA_12X36_NOT</vt:lpstr>
      <vt:lpstr>TEMPO_INTERVALO_REFEICAO</vt:lpstr>
      <vt:lpstr>TIPO_DE_SERVICO</vt:lpstr>
      <vt:lpstr>TRANSPORTE_POR_DIA</vt:lpstr>
      <vt:lpstr>UG</vt:lpstr>
      <vt:lpstr>UNIFORMES</vt:lpstr>
      <vt:lpstr>VALOR_TOTAL_EMPREGADO_12x36_DIU</vt:lpstr>
      <vt:lpstr>VALOR_TOTAL_EMPREGADO_12x36_NOT</vt:lpstr>
      <vt:lpstr>VALOR_TOTAL_POSTO_12x36_DIU</vt:lpstr>
      <vt:lpstr>VALOR_TOTAL_POSTO_12x36_NOT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Larissa Di Giorno Ribeiro Sousa</cp:lastModifiedBy>
  <cp:lastPrinted>2019-08-28T14:06:20Z</cp:lastPrinted>
  <dcterms:created xsi:type="dcterms:W3CDTF">2014-02-07T18:14:59Z</dcterms:created>
  <dcterms:modified xsi:type="dcterms:W3CDTF">2021-08-04T18:35:17Z</dcterms:modified>
</cp:coreProperties>
</file>