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cnmpmpbr-my.sharepoint.com/personal/marciel_cnmp_mp_br/Documents/Área de Trabalho/"/>
    </mc:Choice>
  </mc:AlternateContent>
  <xr:revisionPtr revIDLastSave="0" documentId="8_{BFB28083-AD24-45F2-84BF-A23AEC412476}" xr6:coauthVersionLast="47" xr6:coauthVersionMax="47" xr10:uidLastSave="{00000000-0000-0000-0000-000000000000}"/>
  <workbookProtection lockStructure="1"/>
  <bookViews>
    <workbookView xWindow="28680" yWindow="-120" windowWidth="29040" windowHeight="15720" tabRatio="899" xr2:uid="{00000000-000D-0000-FFFF-FFFF00000000}"/>
  </bookViews>
  <sheets>
    <sheet name="INSERÇÃO-DE-DADOS" sheetId="11" r:id="rId1"/>
    <sheet name="DADOS-ESTATISTICOS" sheetId="15" r:id="rId2"/>
    <sheet name="ENCARGOS-SOCIAIS-E-TRABALHISTAS" sheetId="12" r:id="rId3"/>
    <sheet name="POSTO 12x36 HORAS" sheetId="14" r:id="rId4"/>
    <sheet name="POSTO 44 HORAS" sheetId="16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44 HORAS'!$F$22</definedName>
    <definedName name="AL_1_B_ADIC_PERIC_12x36" localSheetId="3">'POSTO 12x36 HORAS'!$F$23</definedName>
    <definedName name="AL_1_B_ADIC_PERIC_44H" localSheetId="4">'POSTO 44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44 HORAS'!$F$32</definedName>
    <definedName name="AL_2_1_B_ADIC_FERIAS_12x36" localSheetId="3">'POSTO 12x36 HORAS'!$F$35</definedName>
    <definedName name="AL_2_1_B_ADIC_FERIAS_44H" localSheetId="4">'POSTO 44 HORAS'!$F$33</definedName>
    <definedName name="AL_2_2_FGTS_12x36" localSheetId="3">'POSTO 12x36 HORAS'!$F$46</definedName>
    <definedName name="AL_2_2_FGTS_44H" localSheetId="4">'POSTO 44 HORAS'!$F$44</definedName>
    <definedName name="AL_2_3_A_TRANSP_12x36" localSheetId="3">'POSTO 12x36 HORAS'!$F$50</definedName>
    <definedName name="AL_2_3_A_TRANSP_44H" localSheetId="4">'POSTO 44 HORAS'!$F$48</definedName>
    <definedName name="AL_2_3_B_AUX_ALIMENT_12x36" localSheetId="3">'POSTO 12x36 HORAS'!$F$51</definedName>
    <definedName name="AL_2_3_B_AUX_ALIMENT_44H" localSheetId="4">'POSTO 44 HORAS'!$F$49</definedName>
    <definedName name="AL_2_3_C_OUTROS_BENEF_12x36" localSheetId="3">'POSTO 12x36 HORAS'!$F$52</definedName>
    <definedName name="AL_2_3_C_OUTROS_BENEF_44H" localSheetId="4">'POSTO 44 HORAS'!$F$50</definedName>
    <definedName name="AL_2_A_ATE_2_G_GPS_12x36" localSheetId="3">'POSTO 12x36 HORAS'!$F$39:$F$45</definedName>
    <definedName name="AL_2_A_ATE_2_G_GPS_44H" localSheetId="4">'POSTO 44 HORAS'!$F$37:$F$43</definedName>
    <definedName name="AL_6_A_CUSTOS_INDIRETOS_12x36" localSheetId="3">'POSTO 12x36 HORAS'!$F$95</definedName>
    <definedName name="AL_6_A_CUSTOS_INDIRETOS_44H" localSheetId="4">'POSTO 44 HORAS'!$F$85</definedName>
    <definedName name="AL_6_B_LUCRO_12x36" localSheetId="3">'POSTO 12x36 HORAS'!$F$96</definedName>
    <definedName name="AL_6_B_LUCRO_44H" localSheetId="4">'POSTO 44 HORAS'!$F$86</definedName>
    <definedName name="AL_6_C_1_PIS_12x36" localSheetId="3">'POSTO 12x36 HORAS'!$F$98</definedName>
    <definedName name="AL_6_C_1_PIS_44H" localSheetId="4">'POSTO 44 HORAS'!$F$88</definedName>
    <definedName name="AL_6_C_2_COFINS_12x36" localSheetId="3">'POSTO 12x36 HORAS'!$F$99</definedName>
    <definedName name="AL_6_C_2_COFINS_44H" localSheetId="4">'POSTO 44 HORAS'!$F$89</definedName>
    <definedName name="AL_6_C_3_ISS_12x36" localSheetId="3">'POSTO 12x36 HORAS'!$F$100</definedName>
    <definedName name="AL_6_C_3_ISS_44H" localSheetId="4">'POSTO 44 HORAS'!$F$90</definedName>
    <definedName name="AL_6_C_TRIBUTOS_12x36" localSheetId="3">'POSTO 12x36 HORAS'!$F$97</definedName>
    <definedName name="AL_6_C_TRIBUTOS_44H" localSheetId="4">'POSTO 44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44 HORAS'!$F$28</definedName>
    <definedName name="MOD_2_ENCARGOS_BENEFICIOS_12x36" localSheetId="3">'POSTO 12x36 HORAS'!$F$36+'POSTO 12x36 HORAS'!$F$47+'POSTO 12x36 HORAS'!$F$55</definedName>
    <definedName name="MOD_2_ENCARGOS_BENEFICIOS_44H" localSheetId="4">'POSTO 44 HORAS'!$F$34+'POSTO 44 HORAS'!$F$45+'POSTO 44 HORAS'!$F$53</definedName>
    <definedName name="MOD_3_PROVISAO_RESCISAO_12x36" localSheetId="3">'POSTO 12x36 HORAS'!$F$68</definedName>
    <definedName name="MOD_3_PROVISAO_RESCISAO_44H" localSheetId="4">'POSTO 44 HORAS'!$F$62</definedName>
    <definedName name="MOD_4_CUSTO_REPOSICAO_12x36" localSheetId="3">'POSTO 12x36 HORAS'!$F$79+'POSTO 12x36 HORAS'!$F$83</definedName>
    <definedName name="MOD_4_CUSTO_REPOSICAO_44H" localSheetId="4">'POSTO 44 HORAS'!$F$73</definedName>
    <definedName name="MOD_5_INSUMOS_12x36" localSheetId="3">'POSTO 12x36 HORAS'!$F$91</definedName>
    <definedName name="MOD_5_INSUMOS_44H" localSheetId="4">'POSTO 44 HORAS'!$F$81</definedName>
    <definedName name="MOD_6_CUSTOS_IND_LUCRO_TRIB_12x36" localSheetId="3">'POSTO 12x36 HORAS'!$F$101</definedName>
    <definedName name="MOD_6_CUSTOS_IND_LUCRO_TRIB_44H" localSheetId="4">'POSTO 44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44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44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44 HORAS'!$F$34</definedName>
    <definedName name="SUBMOD_2_2_GPS_FGTS_12x36" localSheetId="3">'POSTO 12x36 HORAS'!$F$47</definedName>
    <definedName name="SUBMOD_2_2_GPS_FGTS_44H" localSheetId="4">'POSTO 44 HORAS'!$F$45</definedName>
    <definedName name="SUBMOD_2_3_BENEFICIOS_12x36" localSheetId="3">'POSTO 12x36 HORAS'!$F$55</definedName>
    <definedName name="SUBMOD_2_3_BENEFICIOS_44H" localSheetId="4">'POSTO 44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44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44 HORAS'!$F$100</definedName>
    <definedName name="VALOR_TOTAL_POSTO_12x36" localSheetId="3">'POSTO 12x36 HORAS'!$F$111</definedName>
    <definedName name="VALOR_TOTAL_POSTO_44H" localSheetId="4">'POSTO 44 HORAS'!$F$101</definedName>
  </definedNames>
  <calcPr calcId="191029" fullPrecision="0"/>
  <customWorkbookViews>
    <customWorkbookView name="teste" guid="{E22B0E03-E710-4313-B9E5-0BFE52A7E677}" maximized="1" xWindow="-8" yWindow="-8" windowWidth="1936" windowHeight="1056" tabRatio="899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5" l="1"/>
  <c r="E11" i="12" l="1"/>
  <c r="E41" i="14" s="1"/>
  <c r="E39" i="16" l="1"/>
  <c r="F49" i="16" l="1"/>
  <c r="F51" i="14"/>
  <c r="E25" i="12" l="1"/>
  <c r="E22" i="12"/>
  <c r="F26" i="14" l="1"/>
  <c r="E61" i="16" l="1"/>
  <c r="E58" i="16"/>
  <c r="E23" i="12" l="1"/>
  <c r="E59" i="16" s="1"/>
  <c r="E20" i="12"/>
  <c r="E64" i="14"/>
  <c r="E21" i="12" l="1"/>
  <c r="E56" i="16"/>
  <c r="E57" i="16" l="1"/>
  <c r="E63" i="14"/>
  <c r="E90" i="16"/>
  <c r="E89" i="16"/>
  <c r="E88" i="16"/>
  <c r="E86" i="16"/>
  <c r="E85" i="16"/>
  <c r="F80" i="16"/>
  <c r="C80" i="16"/>
  <c r="F79" i="16"/>
  <c r="F78" i="16"/>
  <c r="F77" i="16"/>
  <c r="E72" i="16"/>
  <c r="C72" i="16"/>
  <c r="F52" i="16"/>
  <c r="C52" i="16"/>
  <c r="F51" i="16"/>
  <c r="C51" i="16"/>
  <c r="F50" i="16"/>
  <c r="C50" i="16"/>
  <c r="E44" i="16"/>
  <c r="E43" i="16"/>
  <c r="E42" i="16"/>
  <c r="E41" i="16"/>
  <c r="E40" i="16"/>
  <c r="E38" i="16"/>
  <c r="E37" i="16"/>
  <c r="F27" i="16"/>
  <c r="C27" i="16"/>
  <c r="F26" i="16"/>
  <c r="C26" i="16"/>
  <c r="F25" i="16"/>
  <c r="C25" i="16"/>
  <c r="F24" i="16"/>
  <c r="F23" i="16"/>
  <c r="F22" i="16"/>
  <c r="F19" i="16"/>
  <c r="F17" i="16"/>
  <c r="D16" i="16"/>
  <c r="D15" i="16"/>
  <c r="E14" i="16"/>
  <c r="F12" i="16"/>
  <c r="F11" i="16"/>
  <c r="F10" i="16"/>
  <c r="D9" i="16"/>
  <c r="F8" i="16"/>
  <c r="F6" i="16"/>
  <c r="D6" i="16"/>
  <c r="D5" i="16"/>
  <c r="F2" i="16"/>
  <c r="B2" i="16"/>
  <c r="B1" i="16"/>
  <c r="F48" i="16" l="1"/>
  <c r="F53" i="16" s="1"/>
  <c r="E87" i="16"/>
  <c r="F81" i="16"/>
  <c r="F98" i="16" s="1"/>
  <c r="F28" i="16" l="1"/>
  <c r="F12" i="14"/>
  <c r="F94" i="16" l="1"/>
  <c r="F19" i="14" l="1"/>
  <c r="D16" i="14"/>
  <c r="D15" i="14"/>
  <c r="E14" i="14"/>
  <c r="D9" i="14"/>
  <c r="F2" i="14" l="1"/>
  <c r="E34" i="12" l="1"/>
  <c r="C34" i="12"/>
  <c r="E100" i="14" l="1"/>
  <c r="E99" i="14"/>
  <c r="E98" i="14"/>
  <c r="E96" i="14"/>
  <c r="E95" i="14"/>
  <c r="F90" i="14"/>
  <c r="C90" i="14"/>
  <c r="F89" i="14"/>
  <c r="F88" i="14"/>
  <c r="F87" i="14"/>
  <c r="E78" i="14"/>
  <c r="C78" i="14"/>
  <c r="F54" i="14"/>
  <c r="C54" i="14"/>
  <c r="F53" i="14"/>
  <c r="C53" i="14"/>
  <c r="F52" i="14"/>
  <c r="C52" i="14"/>
  <c r="E45" i="14"/>
  <c r="E44" i="14"/>
  <c r="E43" i="14"/>
  <c r="E42" i="14"/>
  <c r="E40" i="14"/>
  <c r="E39" i="14"/>
  <c r="F29" i="14"/>
  <c r="C29" i="14"/>
  <c r="F28" i="14"/>
  <c r="C28" i="14"/>
  <c r="F27" i="14"/>
  <c r="C27" i="14"/>
  <c r="F23" i="14"/>
  <c r="F22" i="14"/>
  <c r="F50" i="14" s="1"/>
  <c r="F17" i="14"/>
  <c r="F11" i="14"/>
  <c r="F10" i="14"/>
  <c r="F8" i="14"/>
  <c r="F6" i="14"/>
  <c r="D6" i="14"/>
  <c r="D5" i="14"/>
  <c r="B2" i="14"/>
  <c r="B1" i="14"/>
  <c r="E97" i="14" l="1"/>
  <c r="F55" i="14"/>
  <c r="F24" i="14"/>
  <c r="F91" i="14"/>
  <c r="F108" i="14" s="1"/>
  <c r="F25" i="14"/>
  <c r="F30" i="14" l="1"/>
  <c r="F104" i="14" l="1"/>
  <c r="F58" i="14"/>
  <c r="F59" i="14" s="1"/>
  <c r="E5" i="12"/>
  <c r="F34" i="14" s="1"/>
  <c r="E6" i="12"/>
  <c r="F35" i="14" s="1"/>
  <c r="E62" i="14"/>
  <c r="E65" i="14"/>
  <c r="E29" i="12"/>
  <c r="E30" i="12"/>
  <c r="E31" i="12"/>
  <c r="E32" i="12"/>
  <c r="E79" i="11"/>
  <c r="E80" i="11"/>
  <c r="E81" i="11"/>
  <c r="E68" i="16" l="1"/>
  <c r="E67" i="14"/>
  <c r="E69" i="16"/>
  <c r="F33" i="16"/>
  <c r="E33" i="16"/>
  <c r="E70" i="16"/>
  <c r="E67" i="16"/>
  <c r="F32" i="16"/>
  <c r="E32" i="16"/>
  <c r="E76" i="14"/>
  <c r="E74" i="14"/>
  <c r="E75" i="14"/>
  <c r="E35" i="14"/>
  <c r="E73" i="14"/>
  <c r="E34" i="14"/>
  <c r="F34" i="16" l="1"/>
  <c r="F36" i="14"/>
  <c r="F63" i="14" s="1"/>
  <c r="F61" i="16" l="1"/>
  <c r="F58" i="16"/>
  <c r="F40" i="16"/>
  <c r="F42" i="16"/>
  <c r="F38" i="16"/>
  <c r="F57" i="16"/>
  <c r="F56" i="16"/>
  <c r="F59" i="16"/>
  <c r="F44" i="16"/>
  <c r="F43" i="16"/>
  <c r="F39" i="16"/>
  <c r="F41" i="16"/>
  <c r="F37" i="16"/>
  <c r="F44" i="14"/>
  <c r="F42" i="14"/>
  <c r="F43" i="14"/>
  <c r="F67" i="14"/>
  <c r="F45" i="14"/>
  <c r="F46" i="14"/>
  <c r="F62" i="14"/>
  <c r="F40" i="14"/>
  <c r="F64" i="14"/>
  <c r="F65" i="14"/>
  <c r="F41" i="14"/>
  <c r="F39" i="14"/>
  <c r="F45" i="16" l="1"/>
  <c r="F95" i="16" l="1"/>
  <c r="E46" i="14"/>
  <c r="E17" i="12"/>
  <c r="E24" i="12" s="1"/>
  <c r="F47" i="14"/>
  <c r="F78" i="14" l="1" a="1"/>
  <c r="F78" i="14" s="1"/>
  <c r="F73" i="14" a="1"/>
  <c r="F73" i="14" s="1"/>
  <c r="F75" i="14" a="1"/>
  <c r="F75" i="14" s="1"/>
  <c r="F74" i="14" a="1"/>
  <c r="F74" i="14" s="1"/>
  <c r="F76" i="14" a="1"/>
  <c r="F76" i="14" s="1"/>
  <c r="E66" i="14"/>
  <c r="F66" i="14" s="1"/>
  <c r="F68" i="14" s="1"/>
  <c r="F82" i="14" s="1"/>
  <c r="E60" i="16"/>
  <c r="F60" i="16"/>
  <c r="F62" i="16" s="1"/>
  <c r="F69" i="16" s="1"/>
  <c r="E33" i="12"/>
  <c r="F77" i="14" s="1" a="1"/>
  <c r="F77" i="14" s="1"/>
  <c r="F105" i="14"/>
  <c r="F72" i="16" l="1"/>
  <c r="F96" i="16"/>
  <c r="F68" i="16"/>
  <c r="F70" i="16"/>
  <c r="F67" i="16"/>
  <c r="E77" i="14"/>
  <c r="F71" i="16"/>
  <c r="E71" i="16"/>
  <c r="F73" i="16" l="1"/>
  <c r="F85" i="16" s="1"/>
  <c r="F86" i="16" s="1"/>
  <c r="F89" i="16" s="1"/>
  <c r="F106" i="14"/>
  <c r="F83" i="14"/>
  <c r="F97" i="16" l="1"/>
  <c r="F90" i="16"/>
  <c r="F88" i="16"/>
  <c r="F79" i="14"/>
  <c r="F107" i="14" l="1"/>
  <c r="F95" i="14"/>
  <c r="F87" i="16"/>
  <c r="F91" i="16" s="1"/>
  <c r="F99" i="16" s="1"/>
  <c r="F100" i="16" s="1"/>
  <c r="F102" i="16" s="1"/>
  <c r="F96" i="14" l="1"/>
  <c r="F100" i="14" s="1"/>
  <c r="F101" i="16"/>
  <c r="F98" i="14" l="1"/>
  <c r="F99" i="14"/>
  <c r="F97" i="14" l="1"/>
  <c r="F101" i="14" s="1"/>
  <c r="F109" i="14" s="1"/>
  <c r="F110" i="14" s="1"/>
  <c r="F111" i="14" l="1"/>
  <c r="F112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André Flores</author>
  </authors>
  <commentList>
    <comment ref="F49" authorId="0" shapeId="0" xr:uid="{00000000-0006-0000-0000-000001000000}">
      <text>
        <r>
          <rPr>
            <sz val="9"/>
            <color rgb="FF000000"/>
            <rFont val="Segoe UI"/>
            <family val="2"/>
            <charset val="1"/>
          </rPr>
          <t>Limitado a 20%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<sst xmlns="http://schemas.openxmlformats.org/spreadsheetml/2006/main" count="616" uniqueCount="209">
  <si>
    <t>Insumos Diversos</t>
  </si>
  <si>
    <t>%</t>
  </si>
  <si>
    <t>A</t>
  </si>
  <si>
    <t>B</t>
  </si>
  <si>
    <t>C</t>
  </si>
  <si>
    <t>D</t>
  </si>
  <si>
    <t>E</t>
  </si>
  <si>
    <t>F</t>
  </si>
  <si>
    <t>MÓDULO 1: COMPOSIÇÃO DA REMUNERAÇÃO</t>
  </si>
  <si>
    <t>Composição da Remuneração</t>
  </si>
  <si>
    <t>G</t>
  </si>
  <si>
    <t>H</t>
  </si>
  <si>
    <t>I</t>
  </si>
  <si>
    <t>Valor (R$)</t>
  </si>
  <si>
    <t>Benefícios Mensais e Diários</t>
  </si>
  <si>
    <t>Transporte</t>
  </si>
  <si>
    <t>Uniformes</t>
  </si>
  <si>
    <t>Equipamentos</t>
  </si>
  <si>
    <t>Materiais</t>
  </si>
  <si>
    <t>Valor    (R$)</t>
  </si>
  <si>
    <t>4.1</t>
  </si>
  <si>
    <t>4.2</t>
  </si>
  <si>
    <t>Custos Indiretos, Tributos e Lucro</t>
  </si>
  <si>
    <t>Tributos</t>
  </si>
  <si>
    <t>PIS</t>
  </si>
  <si>
    <t>Cofins</t>
  </si>
  <si>
    <t>ISS</t>
  </si>
  <si>
    <t>Tipo de Serviço</t>
  </si>
  <si>
    <t>VALOR TOTAL POR POSTO</t>
  </si>
  <si>
    <t>Lucro</t>
  </si>
  <si>
    <t>Nº do Processo (X.XX.XXX.XXXXXX/XXXX-XX)</t>
  </si>
  <si>
    <t>Modalidade de Licitação nº (XX/AAAA)</t>
  </si>
  <si>
    <t>Pregão nº</t>
  </si>
  <si>
    <t>Local de Execução (Sede, Anexo I ou II, PTM, PRM)</t>
  </si>
  <si>
    <t>Acordo, Conv. ou Sentença Normativa em Dissídio Coletivo (MM/AAAA)</t>
  </si>
  <si>
    <t>Frequência</t>
  </si>
  <si>
    <t>Diária</t>
  </si>
  <si>
    <t>PLANILHA DE CUSTOS E FORMAÇÃO DE PREÇOS</t>
  </si>
  <si>
    <t>INSS</t>
  </si>
  <si>
    <t>INCRA</t>
  </si>
  <si>
    <t>Salário Educação</t>
  </si>
  <si>
    <t>FGTS</t>
  </si>
  <si>
    <t>SEBRAE</t>
  </si>
  <si>
    <t>TOTAL</t>
  </si>
  <si>
    <t>13º Salário</t>
  </si>
  <si>
    <t>Provisão para Rescisão</t>
  </si>
  <si>
    <t>Aviso Prévio Indenizado</t>
  </si>
  <si>
    <t>Aviso Prévio Trabalhado</t>
  </si>
  <si>
    <t>Custo de Reposição do Profissional Ausente</t>
  </si>
  <si>
    <t>EMPREGADOS POR POSTO</t>
  </si>
  <si>
    <t>QUADRO RESUMO - CUSTO POR EMPREGADO</t>
  </si>
  <si>
    <t>DATA:</t>
  </si>
  <si>
    <t>DISCRIMINAÇÃO DOS SERVIÇOS (DADOS REFERENTES À CONTRATAÇÃO)</t>
  </si>
  <si>
    <t>Classificação Brasileira de Ocupações (CBO)</t>
  </si>
  <si>
    <t>Tipo de Serviço (mesmo serviço com características distintas)</t>
  </si>
  <si>
    <t>Categoria Profissional (vinculada à execução contratual)</t>
  </si>
  <si>
    <t>Data-Base da Categoria (DD/MM/AAAA)</t>
  </si>
  <si>
    <t>Data de Apresentação da Proposta (DD/MM/AAAA)</t>
  </si>
  <si>
    <t>Número de Meses de Execução Contratual</t>
  </si>
  <si>
    <t>MÓDULO 2: ENCARGOS E BENEFÍCIOS ANUAIS, MENSAIS E DIÁRIOS</t>
  </si>
  <si>
    <t>2.1</t>
  </si>
  <si>
    <t>Submódulo 2.2 - Encargos Previdencários (GPS), Fundo de Garantia por Tempo de Serviço (FGTS) e Outras Contribuições</t>
  </si>
  <si>
    <t>2.2</t>
  </si>
  <si>
    <t>Auxílio-Refeição/Alimentação</t>
  </si>
  <si>
    <t>Submódulo 2.3 - Benefícios Mensais e Diários</t>
  </si>
  <si>
    <t>MÓDULO 3: PROVISÃO PARA RESCISÃO</t>
  </si>
  <si>
    <t>MÓDULO 4: CUSTO DE REPOSIÇÃO DO PROFISSIONAL AUSENTE</t>
  </si>
  <si>
    <t>MÓDULO 6: CUSTOS INDIRETOS, TRIBUTOS E LUCRO</t>
  </si>
  <si>
    <t>MÓDULO 5: INSUMOS DIVERSOS</t>
  </si>
  <si>
    <t>Custos Indiretos</t>
  </si>
  <si>
    <t>C.1</t>
  </si>
  <si>
    <t>C.2</t>
  </si>
  <si>
    <t>C.3</t>
  </si>
  <si>
    <t>Adicional de Periculosidade (em %)</t>
  </si>
  <si>
    <t>Adicional Noturno</t>
  </si>
  <si>
    <t>Adicional Noturno (em %)</t>
  </si>
  <si>
    <t>Quantidade de Postos</t>
  </si>
  <si>
    <t>Outros (Especificar)</t>
  </si>
  <si>
    <t>Adicional de Hora Noturna Reduzida (em %)</t>
  </si>
  <si>
    <t>SESC</t>
  </si>
  <si>
    <t>SENAC</t>
  </si>
  <si>
    <t>2.3</t>
  </si>
  <si>
    <t>Salário-Base (em R$)</t>
  </si>
  <si>
    <t>Salário-Base</t>
  </si>
  <si>
    <t>13º Salário e Adicional de Férias</t>
  </si>
  <si>
    <t>Adicional de Periculosidade</t>
  </si>
  <si>
    <t>Adicional de Férias</t>
  </si>
  <si>
    <t>Encargos Previdenciários (GPS), Fundo de Garantia por Tempo de Serviço (FGTS) e outras contribuições</t>
  </si>
  <si>
    <t>Dados referentes à licitação</t>
  </si>
  <si>
    <t>MÓD.</t>
  </si>
  <si>
    <t>Mão-de-obra vinculada à execução contratual (valor por empregado)</t>
  </si>
  <si>
    <t>Encargos e Benefícios Anuais, Mensais e Diários</t>
  </si>
  <si>
    <t>VALOR TOTAL DO EMPREGADO</t>
  </si>
  <si>
    <t>Submódulo 4.1 - Substituto nas Ausências Legais</t>
  </si>
  <si>
    <t>Substituto nas Ausências Legais</t>
  </si>
  <si>
    <t xml:space="preserve">Substituto na Cobertura de Férias 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</si>
  <si>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</si>
  <si>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</si>
  <si>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</si>
  <si>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</si>
  <si>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Intervalo para Repouso e Alimentação</t>
  </si>
  <si>
    <t>Submódulo 2.1 - 13º (décimo terceiro) Salário e Adicional de Férias</t>
  </si>
  <si>
    <t>Dados referentes à contratação</t>
  </si>
  <si>
    <t>Data / Horário</t>
  </si>
  <si>
    <t>Identificação do serviço</t>
  </si>
  <si>
    <t>Unidade de Medida</t>
  </si>
  <si>
    <t>Qtde Total a Contratar</t>
  </si>
  <si>
    <t>Mão de obra</t>
  </si>
  <si>
    <t>Dias no Ano</t>
  </si>
  <si>
    <t>Dias na Semana</t>
  </si>
  <si>
    <t>Hora Normal (em minutos)</t>
  </si>
  <si>
    <t>Hora Noturna (em minutos)</t>
  </si>
  <si>
    <t>J</t>
  </si>
  <si>
    <t>Divisor de Horas (em horas)</t>
  </si>
  <si>
    <t xml:space="preserve">Meses no Ano </t>
  </si>
  <si>
    <t>Hora Extra (em %)</t>
  </si>
  <si>
    <t>Empregados que recebem aviso prévio indenizado (em %)</t>
  </si>
  <si>
    <t>Multa do FGTS (em %)</t>
  </si>
  <si>
    <t>Empregados que recebem aviso prévio trabalhado (em %)</t>
  </si>
  <si>
    <t>K</t>
  </si>
  <si>
    <t>L</t>
  </si>
  <si>
    <t>Dias de Ausências Legais</t>
  </si>
  <si>
    <t>Dias de Licença-Paternidade</t>
  </si>
  <si>
    <t>Nascidos Vivos / População Feminina (em %)</t>
  </si>
  <si>
    <t>Tempo de Intervalo para Refeição (em minutos)</t>
  </si>
  <si>
    <t>Empregados afastados por acidente de trabalho (em %)</t>
  </si>
  <si>
    <t>Dias de Licença-Maternidade</t>
  </si>
  <si>
    <t>Pessoas demitidas sem justa causa / Total de desligamentos (em %)</t>
  </si>
  <si>
    <t>Salário Mínimo vigente no país (em R$)</t>
  </si>
  <si>
    <t>Dias no mês</t>
  </si>
  <si>
    <t>Dias pagos pela empresa em acidentes de trabalho</t>
  </si>
  <si>
    <t>Mensal</t>
  </si>
  <si>
    <t>Média Anual de Dias Trabalhados no Mês</t>
  </si>
  <si>
    <t>Desconto Remuneração Transporte</t>
  </si>
  <si>
    <t>Unidade da Federação</t>
  </si>
  <si>
    <t>Item</t>
  </si>
  <si>
    <t>Outras Remunerações 1 (Especificar)</t>
  </si>
  <si>
    <t>Outras Remunerações 2 (Especificar)</t>
  </si>
  <si>
    <t>Outras Remunerações 3 (Especificar)</t>
  </si>
  <si>
    <t>Outros Benefícios 1 (Especificar)</t>
  </si>
  <si>
    <t>Outros Benefícios 2 (Especificar)</t>
  </si>
  <si>
    <t>Outros Benefícios 3 (Especificar)</t>
  </si>
  <si>
    <t>XX/XX/20XX</t>
  </si>
  <si>
    <t>XX/20XX</t>
  </si>
  <si>
    <t>HH:MM</t>
  </si>
  <si>
    <t>OBSERVAÇÃO</t>
  </si>
  <si>
    <t>CUSTOS POR EMPREGADO</t>
  </si>
  <si>
    <t>Adicional de Insalubridade (em %)</t>
  </si>
  <si>
    <t>Adicional de Insalubridade</t>
  </si>
  <si>
    <t>VALOR TOTAL DA CATEGORIA</t>
  </si>
  <si>
    <t>CUSTOS REFERENTES AO POSTO</t>
  </si>
  <si>
    <t>CUSTOS REFERENTES AOS SERVIÇOS CONTRATADOS</t>
  </si>
  <si>
    <t>Empregados por Posto</t>
  </si>
  <si>
    <t>DADOS ESTATÍSTICOS</t>
  </si>
  <si>
    <t>ENCARGOS SOCIAIS E TRABALHISTAS</t>
  </si>
  <si>
    <t>Memória de Cálculo</t>
  </si>
  <si>
    <t>(1/12) x 100</t>
  </si>
  <si>
    <t>[(1/3)/12] x 100</t>
  </si>
  <si>
    <t>[(62,93%) x 5,55% x (1/12)] x 100</t>
  </si>
  <si>
    <t xml:space="preserve">(1/12) x 100 </t>
  </si>
  <si>
    <t>[(8/30)/12] x 100</t>
  </si>
  <si>
    <t>[(15/30)/12] x 0,44%} x 100</t>
  </si>
  <si>
    <t>[(62,93%) x 94,45% x (7/30)/12] x 100</t>
  </si>
  <si>
    <t>Participação Feminina (em %)</t>
  </si>
  <si>
    <t>% / Minutos</t>
  </si>
  <si>
    <t>Nº do Processo</t>
  </si>
  <si>
    <t>Modalidade de Licitação</t>
  </si>
  <si>
    <t>Substituto na Intrajornada</t>
  </si>
  <si>
    <t>Submódulo 4.2 - Substituto na Intrajornada</t>
  </si>
  <si>
    <t>Dias / Horas / Minutos</t>
  </si>
  <si>
    <t>Dias / %</t>
  </si>
  <si>
    <t>Multa do FGTS sobre o Aviso Prévio Trabalhado</t>
  </si>
  <si>
    <t>RAT x FAP*</t>
  </si>
  <si>
    <t xml:space="preserve">*FAP - Deverá estar previsto na proposta da empresa licitante e comprovada sua incidência posteriormente. </t>
  </si>
  <si>
    <t>Incidência do FGTS sobre o Aviso Prévio Indenizado</t>
  </si>
  <si>
    <t>Multa do FGTS sobre o Aviso Prévio Indenizado</t>
  </si>
  <si>
    <t xml:space="preserve">Incidência dos encargos do submódulo 2.2 sobre o Aviso Prévio Trabalhado </t>
  </si>
  <si>
    <t>Submódulo 2.4 - Intervalo Intrajornada</t>
  </si>
  <si>
    <t>2.4</t>
  </si>
  <si>
    <t>Intervalo Intrajornada</t>
  </si>
  <si>
    <t>Submódulo 2.2 - Encargos Previd. (GPS), FGTS e Outras Contribuições</t>
  </si>
  <si>
    <t>Encargos Previd. (GPS), FGTS e Outras Contribuições</t>
  </si>
  <si>
    <t>Multiplicador</t>
  </si>
  <si>
    <t>FAP</t>
  </si>
  <si>
    <t>Para mais informações, consulte o Referencial Técnico de Custos, constante da página da Auditoria Interna do MPU na internet (www.auditoria.mpu.mp.br).</t>
  </si>
  <si>
    <t>1,16% x 36,80% x 100</t>
  </si>
  <si>
    <t>[(62,93%) x 94,45% x 40%  x 8,00% x 100</t>
  </si>
  <si>
    <t>0,29% x 8,00% x 100</t>
  </si>
  <si>
    <t>[(62,93%) x 5,55%x 40%  x 8,00% x 100</t>
  </si>
  <si>
    <t>Participação Masculina (em %)</t>
  </si>
  <si>
    <t>Dias Trabalhados 12 x 36 horas</t>
  </si>
  <si>
    <t>Dias Trabalhados 44 horas</t>
  </si>
  <si>
    <t>Outras Ausências (Especificar em %)</t>
  </si>
  <si>
    <t>A empresa aderiu ao PAT? Caso positivo, qual o percentual adotado?</t>
  </si>
  <si>
    <t>Frequência / Opção</t>
  </si>
  <si>
    <t>Valor (R$) / %</t>
  </si>
  <si>
    <t>Qual a base de cálculo do adicional de insalubridade (CCT ou Salário Mínimo)?</t>
  </si>
  <si>
    <t>{[(5/30)/12] x 1,416% x 45,22%} x 100</t>
  </si>
  <si>
    <t>{[(120/30)/12] x 1,416% x 54,78% x 36,80%} x 100</t>
  </si>
  <si>
    <t>CCT</t>
  </si>
  <si>
    <t>Sede do CNMP</t>
  </si>
  <si>
    <t>DF</t>
  </si>
  <si>
    <t>RAMO: CONSELHO NACINAL DO MINISTÉRIO PÚBLICO</t>
  </si>
  <si>
    <t>UNIDADE GESTORA (SIGLA): CNMP</t>
  </si>
  <si>
    <t>19.00.1300.0002626/2025-07</t>
  </si>
  <si>
    <t>91/2025</t>
  </si>
  <si>
    <t>Audiovisual</t>
  </si>
  <si>
    <t>Supervisor Técnico</t>
  </si>
  <si>
    <t>3732-30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</si>
</sst>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\-#,##0.00\ "/>
    <numFmt numFmtId="165" formatCode="#,##0.0"/>
    <numFmt numFmtId="166" formatCode="#,##0.0000;\-#,##0.0000"/>
  </numFmts>
  <fonts count="3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name val="Segoe UI Light"/>
      <family val="2"/>
    </font>
    <font>
      <sz val="14"/>
      <name val="Segoe UI Light"/>
      <family val="2"/>
    </font>
    <font>
      <sz val="8"/>
      <name val="Segoe UI Light"/>
      <family val="2"/>
    </font>
    <font>
      <b/>
      <sz val="11"/>
      <name val="Segoe UI Light"/>
      <family val="2"/>
    </font>
    <font>
      <b/>
      <sz val="16"/>
      <name val="Segoe UI Light"/>
      <family val="2"/>
    </font>
    <font>
      <i/>
      <sz val="10"/>
      <name val="Segoe UI Light"/>
      <family val="2"/>
    </font>
    <font>
      <b/>
      <sz val="11"/>
      <color theme="0"/>
      <name val="Segoe UI Light"/>
      <family val="2"/>
    </font>
    <font>
      <sz val="11"/>
      <color rgb="FFFF0000"/>
      <name val="Segoe UI Light"/>
      <family val="2"/>
    </font>
    <font>
      <b/>
      <sz val="16"/>
      <color theme="5" tint="-0.499984740745262"/>
      <name val="Segoe UI Light"/>
      <family val="2"/>
    </font>
    <font>
      <sz val="11"/>
      <color theme="5" tint="-0.249977111117893"/>
      <name val="Segoe UI Light"/>
      <family val="2"/>
    </font>
    <font>
      <i/>
      <sz val="10"/>
      <color theme="0"/>
      <name val="Segoe UI Light"/>
      <family val="2"/>
    </font>
    <font>
      <b/>
      <sz val="14"/>
      <color theme="5" tint="-0.249977111117893"/>
      <name val="Segoe UI Light"/>
      <family val="2"/>
    </font>
    <font>
      <b/>
      <sz val="11"/>
      <color theme="5" tint="-0.499984740745262"/>
      <name val="Segoe UI Light"/>
      <family val="2"/>
    </font>
    <font>
      <b/>
      <sz val="14"/>
      <color theme="5" tint="-0.499984740745262"/>
      <name val="Segoe UI Light"/>
      <family val="2"/>
    </font>
    <font>
      <b/>
      <sz val="12"/>
      <color theme="5" tint="-0.499984740745262"/>
      <name val="Segoe UI Light"/>
      <family val="2"/>
    </font>
    <font>
      <b/>
      <sz val="20"/>
      <color theme="5" tint="-0.249977111117893"/>
      <name val="Segoe UI Light"/>
      <family val="2"/>
    </font>
    <font>
      <sz val="9"/>
      <color rgb="FF000000"/>
      <name val="Segoe UI"/>
      <family val="2"/>
      <charset val="1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D55816"/>
        <bgColor indexed="64"/>
      </patternFill>
    </fill>
    <fill>
      <patternFill patternType="solid">
        <fgColor rgb="FFD55816"/>
        <bgColor indexed="4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26"/>
      </patternFill>
    </fill>
    <fill>
      <patternFill patternType="solid">
        <fgColor theme="9" tint="0.79998168889431442"/>
        <bgColor indexed="26"/>
      </patternFill>
    </fill>
    <fill>
      <patternFill patternType="solid">
        <fgColor theme="9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D55816"/>
        <bgColor indexed="3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6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7" fillId="7" borderId="1" applyNumberFormat="0" applyAlignment="0" applyProtection="0"/>
    <xf numFmtId="0" fontId="8" fillId="3" borderId="0" applyNumberFormat="0" applyBorder="0" applyAlignment="0" applyProtection="0"/>
    <xf numFmtId="0" fontId="9" fillId="22" borderId="0" applyNumberFormat="0" applyBorder="0" applyAlignment="0" applyProtection="0"/>
    <xf numFmtId="0" fontId="18" fillId="23" borderId="4" applyNumberForma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</cellStyleXfs>
  <cellXfs count="204">
    <xf numFmtId="0" fontId="0" fillId="0" borderId="0" xfId="0"/>
    <xf numFmtId="0" fontId="25" fillId="27" borderId="10" xfId="0" applyFont="1" applyFill="1" applyBorder="1" applyAlignment="1">
      <alignment horizontal="center" vertical="center"/>
    </xf>
    <xf numFmtId="0" fontId="25" fillId="27" borderId="10" xfId="0" applyFont="1" applyFill="1" applyBorder="1" applyAlignment="1">
      <alignment horizontal="center" vertical="center" wrapText="1"/>
    </xf>
    <xf numFmtId="0" fontId="25" fillId="28" borderId="10" xfId="0" applyFont="1" applyFill="1" applyBorder="1" applyAlignment="1">
      <alignment horizontal="center" vertical="center" wrapText="1"/>
    </xf>
    <xf numFmtId="4" fontId="19" fillId="29" borderId="10" xfId="0" applyNumberFormat="1" applyFont="1" applyFill="1" applyBorder="1" applyAlignment="1">
      <alignment horizontal="right" vertical="center" wrapText="1"/>
    </xf>
    <xf numFmtId="0" fontId="22" fillId="24" borderId="0" xfId="0" applyFont="1" applyFill="1"/>
    <xf numFmtId="0" fontId="22" fillId="25" borderId="0" xfId="0" applyFont="1" applyFill="1" applyAlignment="1">
      <alignment horizontal="left" vertical="center" wrapText="1"/>
    </xf>
    <xf numFmtId="0" fontId="19" fillId="25" borderId="0" xfId="0" applyFont="1" applyFill="1"/>
    <xf numFmtId="39" fontId="19" fillId="25" borderId="0" xfId="0" applyNumberFormat="1" applyFont="1" applyFill="1" applyAlignment="1">
      <alignment horizontal="right"/>
    </xf>
    <xf numFmtId="0" fontId="19" fillId="25" borderId="0" xfId="0" applyFont="1" applyFill="1" applyAlignment="1">
      <alignment horizontal="left" vertical="center" wrapText="1"/>
    </xf>
    <xf numFmtId="0" fontId="23" fillId="25" borderId="0" xfId="0" applyFont="1" applyFill="1" applyAlignment="1">
      <alignment horizontal="left" vertical="center"/>
    </xf>
    <xf numFmtId="0" fontId="19" fillId="25" borderId="0" xfId="0" applyFont="1" applyFill="1" applyAlignment="1">
      <alignment horizontal="center"/>
    </xf>
    <xf numFmtId="0" fontId="19" fillId="26" borderId="0" xfId="0" applyFont="1" applyFill="1"/>
    <xf numFmtId="39" fontId="22" fillId="25" borderId="0" xfId="0" applyNumberFormat="1" applyFont="1" applyFill="1" applyAlignment="1">
      <alignment horizontal="center" vertical="center" wrapText="1"/>
    </xf>
    <xf numFmtId="39" fontId="19" fillId="25" borderId="0" xfId="0" applyNumberFormat="1" applyFont="1" applyFill="1" applyAlignment="1">
      <alignment horizontal="center"/>
    </xf>
    <xf numFmtId="0" fontId="22" fillId="25" borderId="0" xfId="0" applyFont="1" applyFill="1" applyAlignment="1">
      <alignment horizontal="center" vertical="center" wrapText="1"/>
    </xf>
    <xf numFmtId="39" fontId="19" fillId="25" borderId="0" xfId="0" applyNumberFormat="1" applyFont="1" applyFill="1" applyAlignment="1">
      <alignment horizontal="center" vertical="center" wrapText="1"/>
    </xf>
    <xf numFmtId="49" fontId="19" fillId="30" borderId="10" xfId="0" applyNumberFormat="1" applyFont="1" applyFill="1" applyBorder="1" applyAlignment="1" applyProtection="1">
      <alignment horizontal="center"/>
      <protection locked="0"/>
    </xf>
    <xf numFmtId="0" fontId="25" fillId="27" borderId="10" xfId="0" applyFont="1" applyFill="1" applyBorder="1" applyAlignment="1">
      <alignment horizontal="center"/>
    </xf>
    <xf numFmtId="14" fontId="19" fillId="30" borderId="10" xfId="0" applyNumberFormat="1" applyFont="1" applyFill="1" applyBorder="1" applyAlignment="1" applyProtection="1">
      <alignment horizontal="center"/>
      <protection locked="0"/>
    </xf>
    <xf numFmtId="0" fontId="19" fillId="29" borderId="10" xfId="0" applyFont="1" applyFill="1" applyBorder="1"/>
    <xf numFmtId="0" fontId="25" fillId="25" borderId="0" xfId="0" applyFont="1" applyFill="1" applyAlignment="1">
      <alignment horizontal="center"/>
    </xf>
    <xf numFmtId="0" fontId="19" fillId="25" borderId="0" xfId="0" applyFont="1" applyFill="1" applyAlignment="1">
      <alignment horizontal="left"/>
    </xf>
    <xf numFmtId="0" fontId="19" fillId="29" borderId="10" xfId="0" applyFont="1" applyFill="1" applyBorder="1" applyAlignment="1">
      <alignment horizontal="center"/>
    </xf>
    <xf numFmtId="0" fontId="29" fillId="27" borderId="10" xfId="0" applyFont="1" applyFill="1" applyBorder="1" applyAlignment="1">
      <alignment horizontal="center" vertical="center" wrapText="1"/>
    </xf>
    <xf numFmtId="39" fontId="24" fillId="29" borderId="10" xfId="0" applyNumberFormat="1" applyFont="1" applyFill="1" applyBorder="1" applyAlignment="1">
      <alignment horizontal="center" vertical="center" wrapText="1"/>
    </xf>
    <xf numFmtId="39" fontId="19" fillId="33" borderId="10" xfId="0" applyNumberFormat="1" applyFont="1" applyFill="1" applyBorder="1" applyAlignment="1" applyProtection="1">
      <alignment horizontal="right" vertical="center" wrapText="1"/>
      <protection locked="0"/>
    </xf>
    <xf numFmtId="0" fontId="30" fillId="25" borderId="0" xfId="0" applyFont="1" applyFill="1" applyAlignment="1">
      <alignment horizontal="left" vertical="center"/>
    </xf>
    <xf numFmtId="0" fontId="28" fillId="25" borderId="0" xfId="0" applyFont="1" applyFill="1" applyAlignment="1">
      <alignment horizontal="left" vertical="center" wrapText="1"/>
    </xf>
    <xf numFmtId="39" fontId="28" fillId="25" borderId="0" xfId="0" applyNumberFormat="1" applyFont="1" applyFill="1" applyAlignment="1">
      <alignment horizontal="center" vertical="center" wrapText="1"/>
    </xf>
    <xf numFmtId="39" fontId="19" fillId="29" borderId="10" xfId="0" applyNumberFormat="1" applyFont="1" applyFill="1" applyBorder="1" applyAlignment="1">
      <alignment horizontal="right" vertical="center" wrapText="1"/>
    </xf>
    <xf numFmtId="39" fontId="25" fillId="27" borderId="10" xfId="0" applyNumberFormat="1" applyFont="1" applyFill="1" applyBorder="1" applyAlignment="1">
      <alignment horizontal="right" vertical="center" wrapText="1"/>
    </xf>
    <xf numFmtId="2" fontId="19" fillId="29" borderId="10" xfId="0" applyNumberFormat="1" applyFont="1" applyFill="1" applyBorder="1" applyAlignment="1">
      <alignment horizontal="center" vertical="center"/>
    </xf>
    <xf numFmtId="2" fontId="25" fillId="27" borderId="10" xfId="0" applyNumberFormat="1" applyFont="1" applyFill="1" applyBorder="1" applyAlignment="1">
      <alignment horizontal="center" vertical="center"/>
    </xf>
    <xf numFmtId="4" fontId="25" fillId="34" borderId="10" xfId="0" applyNumberFormat="1" applyFont="1" applyFill="1" applyBorder="1" applyAlignment="1">
      <alignment horizontal="right" vertical="center" wrapText="1"/>
    </xf>
    <xf numFmtId="4" fontId="25" fillId="27" borderId="10" xfId="0" applyNumberFormat="1" applyFont="1" applyFill="1" applyBorder="1" applyAlignment="1">
      <alignment horizontal="right"/>
    </xf>
    <xf numFmtId="4" fontId="25" fillId="27" borderId="10" xfId="0" applyNumberFormat="1" applyFont="1" applyFill="1" applyBorder="1" applyAlignment="1">
      <alignment horizontal="right" vertical="center"/>
    </xf>
    <xf numFmtId="4" fontId="25" fillId="34" borderId="11" xfId="0" applyNumberFormat="1" applyFont="1" applyFill="1" applyBorder="1" applyAlignment="1">
      <alignment horizontal="right" vertical="center" wrapText="1"/>
    </xf>
    <xf numFmtId="0" fontId="25" fillId="27" borderId="11" xfId="0" applyFont="1" applyFill="1" applyBorder="1" applyAlignment="1">
      <alignment horizontal="center"/>
    </xf>
    <xf numFmtId="2" fontId="19" fillId="29" borderId="10" xfId="0" applyNumberFormat="1" applyFont="1" applyFill="1" applyBorder="1" applyAlignment="1">
      <alignment horizontal="center" vertical="center" wrapText="1"/>
    </xf>
    <xf numFmtId="39" fontId="19" fillId="29" borderId="11" xfId="0" applyNumberFormat="1" applyFont="1" applyFill="1" applyBorder="1" applyAlignment="1">
      <alignment horizontal="right" vertical="center" wrapText="1"/>
    </xf>
    <xf numFmtId="39" fontId="19" fillId="29" borderId="10" xfId="0" applyNumberFormat="1" applyFont="1" applyFill="1" applyBorder="1" applyAlignment="1">
      <alignment horizontal="center" vertical="center" wrapText="1"/>
    </xf>
    <xf numFmtId="0" fontId="25" fillId="27" borderId="11" xfId="0" applyFont="1" applyFill="1" applyBorder="1" applyAlignment="1">
      <alignment horizontal="center" vertical="center"/>
    </xf>
    <xf numFmtId="0" fontId="25" fillId="28" borderId="11" xfId="0" applyFont="1" applyFill="1" applyBorder="1" applyAlignment="1">
      <alignment horizontal="center" vertical="center" wrapText="1"/>
    </xf>
    <xf numFmtId="0" fontId="31" fillId="25" borderId="0" xfId="0" applyFont="1" applyFill="1" applyAlignment="1">
      <alignment horizontal="left"/>
    </xf>
    <xf numFmtId="0" fontId="32" fillId="25" borderId="0" xfId="0" applyFont="1" applyFill="1" applyAlignment="1">
      <alignment horizontal="left" vertical="center"/>
    </xf>
    <xf numFmtId="164" fontId="19" fillId="29" borderId="10" xfId="0" applyNumberFormat="1" applyFont="1" applyFill="1" applyBorder="1" applyAlignment="1">
      <alignment horizontal="center" vertical="center" wrapText="1"/>
    </xf>
    <xf numFmtId="4" fontId="19" fillId="35" borderId="10" xfId="0" applyNumberFormat="1" applyFont="1" applyFill="1" applyBorder="1" applyAlignment="1">
      <alignment horizontal="right" vertical="center" wrapText="1"/>
    </xf>
    <xf numFmtId="39" fontId="19" fillId="35" borderId="10" xfId="0" applyNumberFormat="1" applyFont="1" applyFill="1" applyBorder="1" applyAlignment="1">
      <alignment horizontal="right" vertical="center" wrapText="1"/>
    </xf>
    <xf numFmtId="2" fontId="19" fillId="35" borderId="10" xfId="0" applyNumberFormat="1" applyFont="1" applyFill="1" applyBorder="1" applyAlignment="1">
      <alignment horizontal="center" vertical="center" wrapText="1"/>
    </xf>
    <xf numFmtId="39" fontId="19" fillId="35" borderId="11" xfId="0" applyNumberFormat="1" applyFont="1" applyFill="1" applyBorder="1" applyAlignment="1">
      <alignment horizontal="right" vertical="center" wrapText="1"/>
    </xf>
    <xf numFmtId="39" fontId="19" fillId="35" borderId="10" xfId="0" applyNumberFormat="1" applyFont="1" applyFill="1" applyBorder="1" applyAlignment="1">
      <alignment horizontal="center" vertical="center" wrapText="1"/>
    </xf>
    <xf numFmtId="39" fontId="24" fillId="35" borderId="10" xfId="0" applyNumberFormat="1" applyFont="1" applyFill="1" applyBorder="1" applyAlignment="1">
      <alignment horizontal="center" vertical="center" wrapText="1"/>
    </xf>
    <xf numFmtId="39" fontId="24" fillId="29" borderId="10" xfId="0" applyNumberFormat="1" applyFont="1" applyFill="1" applyBorder="1" applyAlignment="1">
      <alignment horizontal="right" vertical="center" wrapText="1"/>
    </xf>
    <xf numFmtId="39" fontId="24" fillId="35" borderId="10" xfId="0" applyNumberFormat="1" applyFont="1" applyFill="1" applyBorder="1" applyAlignment="1">
      <alignment horizontal="right" vertical="center" wrapText="1"/>
    </xf>
    <xf numFmtId="0" fontId="19" fillId="35" borderId="10" xfId="0" applyFont="1" applyFill="1" applyBorder="1" applyAlignment="1">
      <alignment horizontal="center"/>
    </xf>
    <xf numFmtId="0" fontId="25" fillId="27" borderId="13" xfId="0" applyFont="1" applyFill="1" applyBorder="1" applyAlignment="1">
      <alignment horizontal="center" vertical="center" wrapText="1"/>
    </xf>
    <xf numFmtId="0" fontId="19" fillId="31" borderId="10" xfId="0" applyFont="1" applyFill="1" applyBorder="1" applyAlignment="1">
      <alignment horizontal="justify" vertical="center" wrapText="1"/>
    </xf>
    <xf numFmtId="4" fontId="19" fillId="30" borderId="10" xfId="0" applyNumberFormat="1" applyFont="1" applyFill="1" applyBorder="1" applyAlignment="1" applyProtection="1">
      <alignment horizontal="right"/>
      <protection locked="0"/>
    </xf>
    <xf numFmtId="0" fontId="19" fillId="30" borderId="10" xfId="0" applyFont="1" applyFill="1" applyBorder="1" applyAlignment="1" applyProtection="1">
      <alignment horizontal="center" vertical="center"/>
      <protection locked="0"/>
    </xf>
    <xf numFmtId="4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39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39" fontId="19" fillId="32" borderId="11" xfId="0" applyNumberFormat="1" applyFont="1" applyFill="1" applyBorder="1" applyAlignment="1" applyProtection="1">
      <alignment horizontal="right" vertical="center" wrapText="1"/>
      <protection locked="0"/>
    </xf>
    <xf numFmtId="39" fontId="19" fillId="32" borderId="10" xfId="0" applyNumberFormat="1" applyFont="1" applyFill="1" applyBorder="1" applyAlignment="1" applyProtection="1">
      <alignment horizontal="center" vertical="center" wrapText="1"/>
      <protection locked="0"/>
    </xf>
    <xf numFmtId="0" fontId="25" fillId="27" borderId="13" xfId="0" applyFont="1" applyFill="1" applyBorder="1" applyAlignment="1">
      <alignment horizontal="center" vertical="center"/>
    </xf>
    <xf numFmtId="0" fontId="25" fillId="27" borderId="12" xfId="0" applyFont="1" applyFill="1" applyBorder="1" applyAlignment="1">
      <alignment horizontal="center" vertical="center"/>
    </xf>
    <xf numFmtId="0" fontId="19" fillId="30" borderId="13" xfId="0" applyFont="1" applyFill="1" applyBorder="1" applyAlignment="1" applyProtection="1">
      <alignment horizontal="center" vertical="center" wrapText="1"/>
      <protection locked="0"/>
    </xf>
    <xf numFmtId="0" fontId="19" fillId="29" borderId="10" xfId="0" applyFont="1" applyFill="1" applyBorder="1" applyAlignment="1">
      <alignment horizontal="left" vertical="center" wrapText="1"/>
    </xf>
    <xf numFmtId="14" fontId="20" fillId="31" borderId="13" xfId="0" applyNumberFormat="1" applyFont="1" applyFill="1" applyBorder="1" applyAlignment="1">
      <alignment horizontal="right"/>
    </xf>
    <xf numFmtId="14" fontId="20" fillId="31" borderId="13" xfId="0" applyNumberFormat="1" applyFont="1" applyFill="1" applyBorder="1"/>
    <xf numFmtId="0" fontId="21" fillId="26" borderId="0" xfId="0" applyFont="1" applyFill="1"/>
    <xf numFmtId="14" fontId="19" fillId="36" borderId="10" xfId="0" applyNumberFormat="1" applyFont="1" applyFill="1" applyBorder="1" applyAlignment="1">
      <alignment horizontal="center"/>
    </xf>
    <xf numFmtId="2" fontId="19" fillId="36" borderId="10" xfId="0" applyNumberFormat="1" applyFont="1" applyFill="1" applyBorder="1" applyAlignment="1">
      <alignment horizontal="center"/>
    </xf>
    <xf numFmtId="0" fontId="27" fillId="25" borderId="0" xfId="0" applyFont="1" applyFill="1" applyAlignment="1">
      <alignment vertical="center"/>
    </xf>
    <xf numFmtId="0" fontId="19" fillId="25" borderId="0" xfId="0" applyFont="1" applyFill="1" applyAlignment="1">
      <alignment vertical="top"/>
    </xf>
    <xf numFmtId="0" fontId="21" fillId="26" borderId="0" xfId="0" applyFont="1" applyFill="1" applyAlignment="1">
      <alignment vertical="top"/>
    </xf>
    <xf numFmtId="0" fontId="28" fillId="25" borderId="0" xfId="0" applyFont="1" applyFill="1"/>
    <xf numFmtId="0" fontId="26" fillId="25" borderId="0" xfId="0" applyFont="1" applyFill="1"/>
    <xf numFmtId="0" fontId="26" fillId="25" borderId="0" xfId="0" applyFont="1" applyFill="1" applyAlignment="1">
      <alignment wrapText="1"/>
    </xf>
    <xf numFmtId="0" fontId="26" fillId="25" borderId="0" xfId="0" applyFont="1" applyFill="1" applyAlignment="1">
      <alignment horizontal="center" wrapText="1"/>
    </xf>
    <xf numFmtId="0" fontId="19" fillId="25" borderId="0" xfId="0" applyFont="1" applyFill="1" applyAlignment="1">
      <alignment wrapText="1"/>
    </xf>
    <xf numFmtId="37" fontId="19" fillId="35" borderId="10" xfId="0" applyNumberFormat="1" applyFont="1" applyFill="1" applyBorder="1" applyAlignment="1">
      <alignment horizontal="center"/>
    </xf>
    <xf numFmtId="0" fontId="22" fillId="24" borderId="0" xfId="0" applyFont="1" applyFill="1" applyAlignment="1">
      <alignment horizontal="left"/>
    </xf>
    <xf numFmtId="49" fontId="19" fillId="24" borderId="0" xfId="0" applyNumberFormat="1" applyFont="1" applyFill="1" applyAlignment="1">
      <alignment horizontal="center"/>
    </xf>
    <xf numFmtId="0" fontId="21" fillId="26" borderId="0" xfId="0" applyFont="1" applyFill="1" applyAlignment="1">
      <alignment horizontal="center" vertical="center"/>
    </xf>
    <xf numFmtId="14" fontId="19" fillId="26" borderId="0" xfId="0" applyNumberFormat="1" applyFont="1" applyFill="1" applyAlignment="1">
      <alignment horizontal="center"/>
    </xf>
    <xf numFmtId="0" fontId="27" fillId="25" borderId="0" xfId="0" applyFont="1" applyFill="1"/>
    <xf numFmtId="0" fontId="19" fillId="30" borderId="10" xfId="0" applyFont="1" applyFill="1" applyBorder="1" applyAlignment="1" applyProtection="1">
      <alignment horizontal="center" vertical="center" wrapText="1"/>
      <protection locked="0"/>
    </xf>
    <xf numFmtId="0" fontId="19" fillId="35" borderId="10" xfId="0" applyFont="1" applyFill="1" applyBorder="1"/>
    <xf numFmtId="14" fontId="19" fillId="31" borderId="10" xfId="0" applyNumberFormat="1" applyFont="1" applyFill="1" applyBorder="1" applyAlignment="1">
      <alignment horizontal="center"/>
    </xf>
    <xf numFmtId="49" fontId="19" fillId="30" borderId="13" xfId="0" applyNumberFormat="1" applyFont="1" applyFill="1" applyBorder="1" applyAlignment="1" applyProtection="1">
      <alignment horizontal="left" vertical="center" wrapText="1"/>
      <protection locked="0"/>
    </xf>
    <xf numFmtId="0" fontId="20" fillId="31" borderId="13" xfId="0" applyFont="1" applyFill="1" applyBorder="1" applyAlignment="1">
      <alignment horizontal="right"/>
    </xf>
    <xf numFmtId="49" fontId="19" fillId="31" borderId="10" xfId="0" applyNumberFormat="1" applyFont="1" applyFill="1" applyBorder="1" applyAlignment="1">
      <alignment horizontal="center"/>
    </xf>
    <xf numFmtId="39" fontId="19" fillId="32" borderId="10" xfId="0" applyNumberFormat="1" applyFont="1" applyFill="1" applyBorder="1" applyAlignment="1" applyProtection="1">
      <alignment vertical="center" wrapText="1"/>
      <protection locked="0"/>
    </xf>
    <xf numFmtId="4" fontId="19" fillId="30" borderId="0" xfId="0" applyNumberFormat="1" applyFont="1" applyFill="1" applyAlignment="1" applyProtection="1">
      <alignment horizontal="center" vertical="center" wrapText="1"/>
      <protection locked="0"/>
    </xf>
    <xf numFmtId="3" fontId="19" fillId="35" borderId="10" xfId="0" applyNumberFormat="1" applyFont="1" applyFill="1" applyBorder="1" applyAlignment="1" applyProtection="1">
      <alignment horizontal="right" vertical="center" wrapText="1"/>
      <protection locked="0"/>
    </xf>
    <xf numFmtId="3" fontId="19" fillId="29" borderId="10" xfId="0" applyNumberFormat="1" applyFont="1" applyFill="1" applyBorder="1" applyAlignment="1" applyProtection="1">
      <alignment horizontal="right" vertical="center" wrapText="1"/>
      <protection locked="0"/>
    </xf>
    <xf numFmtId="165" fontId="19" fillId="29" borderId="10" xfId="0" applyNumberFormat="1" applyFont="1" applyFill="1" applyBorder="1" applyAlignment="1" applyProtection="1">
      <alignment horizontal="right" vertical="center" wrapText="1"/>
      <protection locked="0"/>
    </xf>
    <xf numFmtId="165" fontId="19" fillId="35" borderId="10" xfId="0" applyNumberFormat="1" applyFont="1" applyFill="1" applyBorder="1" applyAlignment="1" applyProtection="1">
      <alignment horizontal="right" vertical="center" wrapText="1"/>
      <protection locked="0"/>
    </xf>
    <xf numFmtId="37" fontId="19" fillId="29" borderId="10" xfId="0" applyNumberFormat="1" applyFont="1" applyFill="1" applyBorder="1" applyAlignment="1" applyProtection="1">
      <alignment horizontal="right" vertical="center" wrapText="1"/>
      <protection locked="0"/>
    </xf>
    <xf numFmtId="39" fontId="19" fillId="35" borderId="10" xfId="0" applyNumberFormat="1" applyFont="1" applyFill="1" applyBorder="1" applyAlignment="1" applyProtection="1">
      <alignment horizontal="right" vertical="center" wrapText="1"/>
      <protection locked="0"/>
    </xf>
    <xf numFmtId="39" fontId="19" fillId="29" borderId="10" xfId="0" applyNumberFormat="1" applyFont="1" applyFill="1" applyBorder="1" applyAlignment="1" applyProtection="1">
      <alignment horizontal="right" vertical="center" wrapText="1"/>
      <protection locked="0"/>
    </xf>
    <xf numFmtId="37" fontId="19" fillId="35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35" borderId="10" xfId="0" applyNumberFormat="1" applyFont="1" applyFill="1" applyBorder="1" applyAlignment="1" applyProtection="1">
      <alignment horizontal="center" vertical="center" wrapText="1"/>
      <protection locked="0"/>
    </xf>
    <xf numFmtId="2" fontId="19" fillId="29" borderId="10" xfId="0" applyNumberFormat="1" applyFont="1" applyFill="1" applyBorder="1" applyAlignment="1" applyProtection="1">
      <alignment horizontal="center" vertical="center"/>
      <protection locked="0"/>
    </xf>
    <xf numFmtId="2" fontId="19" fillId="29" borderId="10" xfId="0" applyNumberFormat="1" applyFont="1" applyFill="1" applyBorder="1" applyAlignment="1" applyProtection="1">
      <alignment horizontal="center" vertical="center" wrapText="1"/>
      <protection locked="0"/>
    </xf>
    <xf numFmtId="37" fontId="19" fillId="32" borderId="10" xfId="0" applyNumberFormat="1" applyFont="1" applyFill="1" applyBorder="1" applyAlignment="1" applyProtection="1">
      <alignment horizontal="center" vertical="center" wrapText="1"/>
      <protection locked="0"/>
    </xf>
    <xf numFmtId="1" fontId="19" fillId="32" borderId="10" xfId="0" applyNumberFormat="1" applyFont="1" applyFill="1" applyBorder="1" applyAlignment="1" applyProtection="1">
      <alignment horizontal="right" vertical="center" wrapText="1"/>
      <protection locked="0"/>
    </xf>
    <xf numFmtId="166" fontId="19" fillId="33" borderId="10" xfId="0" applyNumberFormat="1" applyFont="1" applyFill="1" applyBorder="1" applyAlignment="1" applyProtection="1">
      <alignment horizontal="center" vertical="center" wrapText="1"/>
      <protection locked="0"/>
    </xf>
    <xf numFmtId="14" fontId="20" fillId="30" borderId="13" xfId="0" applyNumberFormat="1" applyFont="1" applyFill="1" applyBorder="1" applyProtection="1">
      <protection locked="0"/>
    </xf>
    <xf numFmtId="0" fontId="19" fillId="29" borderId="10" xfId="0" applyFont="1" applyFill="1" applyBorder="1" applyAlignment="1">
      <alignment horizontal="left"/>
    </xf>
    <xf numFmtId="0" fontId="19" fillId="35" borderId="10" xfId="0" applyFont="1" applyFill="1" applyBorder="1" applyAlignment="1">
      <alignment horizontal="left"/>
    </xf>
    <xf numFmtId="39" fontId="19" fillId="29" borderId="13" xfId="0" applyNumberFormat="1" applyFont="1" applyFill="1" applyBorder="1" applyAlignment="1">
      <alignment horizontal="left" vertical="center" wrapText="1"/>
    </xf>
    <xf numFmtId="39" fontId="19" fillId="29" borderId="14" xfId="0" applyNumberFormat="1" applyFont="1" applyFill="1" applyBorder="1" applyAlignment="1">
      <alignment horizontal="left" vertical="center" wrapText="1"/>
    </xf>
    <xf numFmtId="39" fontId="19" fillId="29" borderId="12" xfId="0" applyNumberFormat="1" applyFont="1" applyFill="1" applyBorder="1" applyAlignment="1">
      <alignment horizontal="left" vertical="center" wrapText="1"/>
    </xf>
    <xf numFmtId="0" fontId="25" fillId="28" borderId="10" xfId="0" applyFont="1" applyFill="1" applyBorder="1" applyAlignment="1">
      <alignment horizontal="left" vertical="center" wrapText="1"/>
    </xf>
    <xf numFmtId="39" fontId="19" fillId="35" borderId="10" xfId="0" applyNumberFormat="1" applyFont="1" applyFill="1" applyBorder="1" applyAlignment="1">
      <alignment horizontal="left" vertical="center" wrapText="1"/>
    </xf>
    <xf numFmtId="0" fontId="19" fillId="29" borderId="13" xfId="0" applyFont="1" applyFill="1" applyBorder="1" applyAlignment="1">
      <alignment horizontal="left" vertical="center" wrapText="1"/>
    </xf>
    <xf numFmtId="0" fontId="19" fillId="29" borderId="14" xfId="0" applyFont="1" applyFill="1" applyBorder="1" applyAlignment="1">
      <alignment horizontal="left" vertical="center" wrapText="1"/>
    </xf>
    <xf numFmtId="0" fontId="19" fillId="29" borderId="12" xfId="0" applyFont="1" applyFill="1" applyBorder="1" applyAlignment="1">
      <alignment horizontal="left" vertical="center" wrapText="1"/>
    </xf>
    <xf numFmtId="0" fontId="19" fillId="35" borderId="13" xfId="0" applyFont="1" applyFill="1" applyBorder="1" applyAlignment="1">
      <alignment horizontal="left" vertical="center" wrapText="1"/>
    </xf>
    <xf numFmtId="0" fontId="19" fillId="35" borderId="14" xfId="0" applyFont="1" applyFill="1" applyBorder="1" applyAlignment="1">
      <alignment horizontal="left" vertical="center" wrapText="1"/>
    </xf>
    <xf numFmtId="0" fontId="19" fillId="35" borderId="12" xfId="0" applyFont="1" applyFill="1" applyBorder="1" applyAlignment="1">
      <alignment horizontal="left" vertical="center" wrapText="1"/>
    </xf>
    <xf numFmtId="39" fontId="19" fillId="32" borderId="10" xfId="0" applyNumberFormat="1" applyFont="1" applyFill="1" applyBorder="1" applyAlignment="1" applyProtection="1">
      <alignment horizontal="left" vertical="center" wrapText="1"/>
      <protection locked="0"/>
    </xf>
    <xf numFmtId="0" fontId="31" fillId="25" borderId="0" xfId="0" applyFont="1" applyFill="1" applyAlignment="1">
      <alignment horizontal="left" wrapText="1"/>
    </xf>
    <xf numFmtId="39" fontId="19" fillId="32" borderId="13" xfId="0" applyNumberFormat="1" applyFont="1" applyFill="1" applyBorder="1" applyAlignment="1" applyProtection="1">
      <alignment horizontal="left" vertical="center" wrapText="1"/>
      <protection locked="0"/>
    </xf>
    <xf numFmtId="39" fontId="19" fillId="32" borderId="12" xfId="0" applyNumberFormat="1" applyFont="1" applyFill="1" applyBorder="1" applyAlignment="1" applyProtection="1">
      <alignment horizontal="left" vertical="center" wrapText="1"/>
      <protection locked="0"/>
    </xf>
    <xf numFmtId="0" fontId="25" fillId="27" borderId="13" xfId="0" applyFont="1" applyFill="1" applyBorder="1" applyAlignment="1">
      <alignment horizontal="left" vertical="center"/>
    </xf>
    <xf numFmtId="0" fontId="25" fillId="27" borderId="14" xfId="0" applyFont="1" applyFill="1" applyBorder="1" applyAlignment="1">
      <alignment horizontal="left" vertical="center"/>
    </xf>
    <xf numFmtId="0" fontId="25" fillId="27" borderId="12" xfId="0" applyFont="1" applyFill="1" applyBorder="1" applyAlignment="1">
      <alignment horizontal="left" vertical="center"/>
    </xf>
    <xf numFmtId="0" fontId="25" fillId="28" borderId="11" xfId="0" applyFont="1" applyFill="1" applyBorder="1" applyAlignment="1">
      <alignment horizontal="left" vertical="center" wrapText="1"/>
    </xf>
    <xf numFmtId="0" fontId="19" fillId="35" borderId="11" xfId="0" applyFont="1" applyFill="1" applyBorder="1" applyAlignment="1">
      <alignment horizontal="left" vertical="center" wrapText="1"/>
    </xf>
    <xf numFmtId="0" fontId="19" fillId="29" borderId="11" xfId="0" applyFont="1" applyFill="1" applyBorder="1" applyAlignment="1">
      <alignment horizontal="left" vertical="center" wrapText="1"/>
    </xf>
    <xf numFmtId="4" fontId="19" fillId="33" borderId="13" xfId="0" applyNumberFormat="1" applyFont="1" applyFill="1" applyBorder="1" applyAlignment="1" applyProtection="1">
      <alignment horizontal="left" vertical="center" wrapText="1"/>
      <protection locked="0"/>
    </xf>
    <xf numFmtId="4" fontId="19" fillId="33" borderId="14" xfId="0" applyNumberFormat="1" applyFont="1" applyFill="1" applyBorder="1" applyAlignment="1" applyProtection="1">
      <alignment horizontal="left" vertical="center" wrapText="1"/>
      <protection locked="0"/>
    </xf>
    <xf numFmtId="4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5" fillId="27" borderId="10" xfId="0" applyFont="1" applyFill="1" applyBorder="1" applyAlignment="1">
      <alignment horizontal="left" vertical="center"/>
    </xf>
    <xf numFmtId="0" fontId="25" fillId="27" borderId="13" xfId="0" applyFont="1" applyFill="1" applyBorder="1" applyAlignment="1">
      <alignment horizontal="left" vertical="center" wrapText="1"/>
    </xf>
    <xf numFmtId="0" fontId="25" fillId="27" borderId="14" xfId="0" applyFont="1" applyFill="1" applyBorder="1" applyAlignment="1">
      <alignment horizontal="left" vertical="center" wrapText="1"/>
    </xf>
    <xf numFmtId="0" fontId="25" fillId="27" borderId="12" xfId="0" applyFont="1" applyFill="1" applyBorder="1" applyAlignment="1">
      <alignment horizontal="left" vertical="center" wrapText="1"/>
    </xf>
    <xf numFmtId="0" fontId="19" fillId="25" borderId="0" xfId="0" applyFont="1" applyFill="1" applyAlignment="1">
      <alignment horizontal="justify" vertical="center" wrapText="1"/>
    </xf>
    <xf numFmtId="0" fontId="20" fillId="30" borderId="13" xfId="0" applyFont="1" applyFill="1" applyBorder="1" applyAlignment="1" applyProtection="1">
      <alignment horizontal="left"/>
      <protection locked="0"/>
    </xf>
    <xf numFmtId="0" fontId="20" fillId="30" borderId="14" xfId="0" applyFont="1" applyFill="1" applyBorder="1" applyAlignment="1" applyProtection="1">
      <alignment horizontal="left"/>
      <protection locked="0"/>
    </xf>
    <xf numFmtId="0" fontId="20" fillId="30" borderId="12" xfId="0" applyFont="1" applyFill="1" applyBorder="1" applyAlignment="1" applyProtection="1">
      <alignment horizontal="left"/>
      <protection locked="0"/>
    </xf>
    <xf numFmtId="0" fontId="27" fillId="25" borderId="0" xfId="0" applyFont="1" applyFill="1" applyAlignment="1">
      <alignment horizontal="center"/>
    </xf>
    <xf numFmtId="0" fontId="25" fillId="27" borderId="15" xfId="0" applyFont="1" applyFill="1" applyBorder="1" applyAlignment="1">
      <alignment horizontal="left"/>
    </xf>
    <xf numFmtId="0" fontId="19" fillId="36" borderId="10" xfId="0" applyFont="1" applyFill="1" applyBorder="1" applyAlignment="1">
      <alignment horizontal="left"/>
    </xf>
    <xf numFmtId="0" fontId="19" fillId="30" borderId="10" xfId="0" applyFont="1" applyFill="1" applyBorder="1" applyAlignment="1" applyProtection="1">
      <alignment horizontal="center"/>
      <protection locked="0"/>
    </xf>
    <xf numFmtId="49" fontId="19" fillId="30" borderId="13" xfId="0" applyNumberFormat="1" applyFont="1" applyFill="1" applyBorder="1" applyAlignment="1" applyProtection="1">
      <alignment horizontal="center"/>
      <protection locked="0"/>
    </xf>
    <xf numFmtId="49" fontId="19" fillId="30" borderId="12" xfId="0" applyNumberFormat="1" applyFont="1" applyFill="1" applyBorder="1" applyAlignment="1" applyProtection="1">
      <alignment horizontal="center"/>
      <protection locked="0"/>
    </xf>
    <xf numFmtId="0" fontId="19" fillId="31" borderId="10" xfId="0" applyFont="1" applyFill="1" applyBorder="1" applyAlignment="1">
      <alignment horizontal="left"/>
    </xf>
    <xf numFmtId="0" fontId="19" fillId="30" borderId="10" xfId="0" applyFont="1" applyFill="1" applyBorder="1" applyAlignment="1" applyProtection="1">
      <alignment horizontal="right"/>
      <protection locked="0"/>
    </xf>
    <xf numFmtId="0" fontId="19" fillId="30" borderId="10" xfId="0" applyFont="1" applyFill="1" applyBorder="1" applyAlignment="1" applyProtection="1">
      <alignment horizontal="left" vertical="center"/>
      <protection locked="0"/>
    </xf>
    <xf numFmtId="0" fontId="19" fillId="31" borderId="13" xfId="0" applyFont="1" applyFill="1" applyBorder="1" applyAlignment="1">
      <alignment horizontal="left" vertical="center" wrapText="1"/>
    </xf>
    <xf numFmtId="0" fontId="19" fillId="31" borderId="14" xfId="0" applyFont="1" applyFill="1" applyBorder="1" applyAlignment="1">
      <alignment horizontal="left" vertical="center" wrapText="1"/>
    </xf>
    <xf numFmtId="0" fontId="19" fillId="31" borderId="12" xfId="0" applyFont="1" applyFill="1" applyBorder="1" applyAlignment="1">
      <alignment horizontal="left" vertical="center" wrapText="1"/>
    </xf>
    <xf numFmtId="0" fontId="25" fillId="27" borderId="17" xfId="0" applyFont="1" applyFill="1" applyBorder="1" applyAlignment="1">
      <alignment horizontal="left"/>
    </xf>
    <xf numFmtId="0" fontId="19" fillId="35" borderId="13" xfId="0" applyFont="1" applyFill="1" applyBorder="1" applyAlignment="1">
      <alignment horizontal="left"/>
    </xf>
    <xf numFmtId="0" fontId="19" fillId="35" borderId="14" xfId="0" applyFont="1" applyFill="1" applyBorder="1" applyAlignment="1">
      <alignment horizontal="left"/>
    </xf>
    <xf numFmtId="0" fontId="19" fillId="35" borderId="12" xfId="0" applyFont="1" applyFill="1" applyBorder="1" applyAlignment="1">
      <alignment horizontal="left"/>
    </xf>
    <xf numFmtId="0" fontId="25" fillId="28" borderId="13" xfId="0" applyFont="1" applyFill="1" applyBorder="1" applyAlignment="1">
      <alignment horizontal="left" vertical="center" wrapText="1"/>
    </xf>
    <xf numFmtId="0" fontId="25" fillId="28" borderId="12" xfId="0" applyFont="1" applyFill="1" applyBorder="1" applyAlignment="1">
      <alignment horizontal="left" vertical="center" wrapText="1"/>
    </xf>
    <xf numFmtId="0" fontId="19" fillId="32" borderId="10" xfId="0" applyFont="1" applyFill="1" applyBorder="1" applyAlignment="1" applyProtection="1">
      <alignment horizontal="center"/>
      <protection locked="0"/>
    </xf>
    <xf numFmtId="0" fontId="25" fillId="27" borderId="14" xfId="0" applyFont="1" applyFill="1" applyBorder="1" applyAlignment="1">
      <alignment horizontal="left"/>
    </xf>
    <xf numFmtId="0" fontId="25" fillId="27" borderId="12" xfId="0" applyFont="1" applyFill="1" applyBorder="1" applyAlignment="1">
      <alignment horizontal="left"/>
    </xf>
    <xf numFmtId="39" fontId="19" fillId="29" borderId="10" xfId="0" applyNumberFormat="1" applyFont="1" applyFill="1" applyBorder="1" applyAlignment="1">
      <alignment horizontal="left" vertical="center" wrapText="1"/>
    </xf>
    <xf numFmtId="0" fontId="19" fillId="29" borderId="13" xfId="0" applyFont="1" applyFill="1" applyBorder="1" applyAlignment="1">
      <alignment horizontal="left" vertical="center"/>
    </xf>
    <xf numFmtId="0" fontId="19" fillId="29" borderId="14" xfId="0" applyFont="1" applyFill="1" applyBorder="1" applyAlignment="1">
      <alignment horizontal="left" vertical="center"/>
    </xf>
    <xf numFmtId="0" fontId="19" fillId="29" borderId="12" xfId="0" applyFont="1" applyFill="1" applyBorder="1" applyAlignment="1">
      <alignment horizontal="left" vertical="center"/>
    </xf>
    <xf numFmtId="0" fontId="19" fillId="35" borderId="13" xfId="0" applyFont="1" applyFill="1" applyBorder="1" applyAlignment="1">
      <alignment horizontal="left" vertical="center"/>
    </xf>
    <xf numFmtId="0" fontId="19" fillId="35" borderId="12" xfId="0" applyFont="1" applyFill="1" applyBorder="1" applyAlignment="1">
      <alignment horizontal="left" vertical="center"/>
    </xf>
    <xf numFmtId="0" fontId="25" fillId="27" borderId="10" xfId="0" applyFont="1" applyFill="1" applyBorder="1" applyAlignment="1">
      <alignment horizontal="left" vertical="center" wrapText="1"/>
    </xf>
    <xf numFmtId="0" fontId="19" fillId="35" borderId="10" xfId="0" applyFont="1" applyFill="1" applyBorder="1" applyAlignment="1">
      <alignment horizontal="left" vertical="center" wrapText="1"/>
    </xf>
    <xf numFmtId="0" fontId="19" fillId="29" borderId="10" xfId="0" applyFont="1" applyFill="1" applyBorder="1" applyAlignment="1">
      <alignment horizontal="left" vertical="center" wrapText="1"/>
    </xf>
    <xf numFmtId="0" fontId="31" fillId="25" borderId="17" xfId="0" applyFont="1" applyFill="1" applyBorder="1" applyAlignment="1">
      <alignment horizontal="left" vertical="center" wrapText="1"/>
    </xf>
    <xf numFmtId="0" fontId="19" fillId="29" borderId="10" xfId="0" applyFont="1" applyFill="1" applyBorder="1" applyAlignment="1">
      <alignment horizontal="justify" vertical="center"/>
    </xf>
    <xf numFmtId="0" fontId="25" fillId="27" borderId="10" xfId="0" applyFont="1" applyFill="1" applyBorder="1" applyAlignment="1">
      <alignment horizontal="justify" vertical="center" wrapText="1"/>
    </xf>
    <xf numFmtId="0" fontId="19" fillId="35" borderId="10" xfId="0" applyFont="1" applyFill="1" applyBorder="1" applyAlignment="1">
      <alignment horizontal="justify" vertical="center"/>
    </xf>
    <xf numFmtId="0" fontId="20" fillId="36" borderId="13" xfId="0" applyFont="1" applyFill="1" applyBorder="1" applyAlignment="1">
      <alignment horizontal="left"/>
    </xf>
    <xf numFmtId="0" fontId="20" fillId="36" borderId="14" xfId="0" applyFont="1" applyFill="1" applyBorder="1" applyAlignment="1">
      <alignment horizontal="left"/>
    </xf>
    <xf numFmtId="0" fontId="20" fillId="36" borderId="12" xfId="0" applyFont="1" applyFill="1" applyBorder="1" applyAlignment="1">
      <alignment horizontal="left"/>
    </xf>
    <xf numFmtId="0" fontId="20" fillId="31" borderId="13" xfId="0" applyFont="1" applyFill="1" applyBorder="1" applyAlignment="1">
      <alignment horizontal="left"/>
    </xf>
    <xf numFmtId="0" fontId="20" fillId="31" borderId="14" xfId="0" applyFont="1" applyFill="1" applyBorder="1" applyAlignment="1">
      <alignment horizontal="left"/>
    </xf>
    <xf numFmtId="0" fontId="20" fillId="31" borderId="12" xfId="0" applyFont="1" applyFill="1" applyBorder="1" applyAlignment="1">
      <alignment horizontal="left"/>
    </xf>
    <xf numFmtId="0" fontId="19" fillId="36" borderId="10" xfId="0" applyFont="1" applyFill="1" applyBorder="1" applyAlignment="1">
      <alignment horizontal="center"/>
    </xf>
    <xf numFmtId="0" fontId="19" fillId="31" borderId="10" xfId="0" applyFont="1" applyFill="1" applyBorder="1" applyAlignment="1">
      <alignment horizontal="right"/>
    </xf>
    <xf numFmtId="0" fontId="33" fillId="0" borderId="0" xfId="0" applyFont="1" applyAlignment="1">
      <alignment horizontal="center"/>
    </xf>
    <xf numFmtId="0" fontId="19" fillId="31" borderId="10" xfId="0" applyFont="1" applyFill="1" applyBorder="1" applyAlignment="1">
      <alignment horizontal="left" vertical="center"/>
    </xf>
    <xf numFmtId="0" fontId="19" fillId="36" borderId="10" xfId="0" applyFont="1" applyFill="1" applyBorder="1" applyAlignment="1">
      <alignment horizontal="left" vertical="center"/>
    </xf>
    <xf numFmtId="0" fontId="19" fillId="35" borderId="10" xfId="0" applyFont="1" applyFill="1" applyBorder="1" applyAlignment="1">
      <alignment horizontal="center"/>
    </xf>
    <xf numFmtId="0" fontId="19" fillId="29" borderId="10" xfId="0" applyFont="1" applyFill="1" applyBorder="1" applyAlignment="1">
      <alignment horizontal="center"/>
    </xf>
    <xf numFmtId="0" fontId="34" fillId="25" borderId="16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left" wrapText="1"/>
    </xf>
    <xf numFmtId="39" fontId="19" fillId="35" borderId="13" xfId="0" applyNumberFormat="1" applyFont="1" applyFill="1" applyBorder="1" applyAlignment="1">
      <alignment horizontal="left" vertical="center" wrapText="1"/>
    </xf>
    <xf numFmtId="39" fontId="19" fillId="35" borderId="14" xfId="0" applyNumberFormat="1" applyFont="1" applyFill="1" applyBorder="1" applyAlignment="1">
      <alignment horizontal="left" vertical="center" wrapText="1"/>
    </xf>
    <xf numFmtId="39" fontId="19" fillId="35" borderId="12" xfId="0" applyNumberFormat="1" applyFont="1" applyFill="1" applyBorder="1" applyAlignment="1">
      <alignment horizontal="left" vertical="center" wrapText="1"/>
    </xf>
    <xf numFmtId="0" fontId="25" fillId="34" borderId="10" xfId="0" applyFont="1" applyFill="1" applyBorder="1" applyAlignment="1">
      <alignment horizontal="left" vertical="center" wrapText="1"/>
    </xf>
    <xf numFmtId="0" fontId="31" fillId="25" borderId="0" xfId="0" applyFont="1" applyFill="1" applyAlignment="1">
      <alignment horizontal="justify" vertical="center" wrapText="1"/>
    </xf>
    <xf numFmtId="0" fontId="25" fillId="34" borderId="11" xfId="0" applyFont="1" applyFill="1" applyBorder="1" applyAlignment="1">
      <alignment horizontal="left" vertical="center" wrapText="1"/>
    </xf>
    <xf numFmtId="4" fontId="19" fillId="29" borderId="10" xfId="0" applyNumberFormat="1" applyFont="1" applyFill="1" applyBorder="1" applyAlignment="1">
      <alignment horizontal="left" vertical="center" wrapText="1"/>
    </xf>
    <xf numFmtId="4" fontId="19" fillId="29" borderId="11" xfId="0" applyNumberFormat="1" applyFont="1" applyFill="1" applyBorder="1" applyAlignment="1">
      <alignment horizontal="left" vertical="center" wrapText="1"/>
    </xf>
    <xf numFmtId="0" fontId="24" fillId="29" borderId="10" xfId="0" applyFont="1" applyFill="1" applyBorder="1" applyAlignment="1">
      <alignment horizontal="left" vertical="center" wrapText="1" indent="1"/>
    </xf>
    <xf numFmtId="0" fontId="24" fillId="35" borderId="10" xfId="0" applyFont="1" applyFill="1" applyBorder="1" applyAlignment="1">
      <alignment horizontal="left" vertical="center" wrapText="1" inden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Neutro" xfId="31" builtinId="28" customBuiltin="1"/>
    <cellStyle name="Normal" xfId="0" builtinId="0"/>
    <cellStyle name="Nota" xfId="32" builtinId="10" customBuiltin="1"/>
    <cellStyle name="Ruim" xfId="30" builtinId="27" customBuiltin="1"/>
    <cellStyle name="Saída" xfId="33" builtinId="21" customBuiltin="1"/>
    <cellStyle name="Texto de Aviso" xfId="34" builtinId="11" customBuiltin="1"/>
    <cellStyle name="Texto Explicativo" xfId="35" builtinId="53" customBuiltin="1"/>
    <cellStyle name="Título 1" xfId="36" builtinId="16" customBuiltin="1"/>
    <cellStyle name="Título 1 1" xfId="37" xr:uid="{00000000-0005-0000-0000-000025000000}"/>
    <cellStyle name="Título 1 1 1" xfId="38" xr:uid="{00000000-0005-0000-0000-000026000000}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2"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4"/>
  <sheetViews>
    <sheetView tabSelected="1" topLeftCell="A15" workbookViewId="0">
      <selection activeCell="F19" sqref="F19"/>
    </sheetView>
  </sheetViews>
  <sheetFormatPr defaultColWidth="9.140625" defaultRowHeight="16.5" x14ac:dyDescent="0.3"/>
  <cols>
    <col min="1" max="1" width="2.7109375" style="7" customWidth="1"/>
    <col min="2" max="2" width="8.7109375" style="7" customWidth="1"/>
    <col min="3" max="3" width="52.42578125" style="12" customWidth="1"/>
    <col min="4" max="4" width="9.42578125" style="12" customWidth="1"/>
    <col min="5" max="5" width="15.42578125" style="12" customWidth="1"/>
    <col min="6" max="6" width="16.42578125" style="12" customWidth="1"/>
    <col min="7" max="16384" width="9.140625" style="7"/>
  </cols>
  <sheetData>
    <row r="1" spans="2:6" ht="20.25" x14ac:dyDescent="0.35">
      <c r="B1" s="142" t="s">
        <v>202</v>
      </c>
      <c r="C1" s="143"/>
      <c r="D1" s="143"/>
      <c r="E1" s="143"/>
      <c r="F1" s="144"/>
    </row>
    <row r="2" spans="2:6" ht="20.25" x14ac:dyDescent="0.35">
      <c r="B2" s="142" t="s">
        <v>203</v>
      </c>
      <c r="C2" s="143"/>
      <c r="D2" s="144"/>
      <c r="E2" s="92" t="s">
        <v>51</v>
      </c>
      <c r="F2" s="110">
        <v>45792</v>
      </c>
    </row>
    <row r="3" spans="2:6" x14ac:dyDescent="0.3">
      <c r="B3" s="71"/>
      <c r="C3" s="71"/>
      <c r="D3" s="71"/>
      <c r="E3" s="71"/>
      <c r="F3" s="71"/>
    </row>
    <row r="4" spans="2:6" s="71" customFormat="1" ht="25.5" x14ac:dyDescent="0.5">
      <c r="B4" s="145" t="s">
        <v>151</v>
      </c>
      <c r="C4" s="145"/>
      <c r="D4" s="145"/>
      <c r="E4" s="145"/>
      <c r="F4" s="145"/>
    </row>
    <row r="5" spans="2:6" s="71" customFormat="1" ht="16.149999999999999" customHeight="1" x14ac:dyDescent="0.3">
      <c r="B5" s="146" t="s">
        <v>88</v>
      </c>
      <c r="C5" s="146"/>
      <c r="D5" s="146"/>
      <c r="E5" s="146"/>
      <c r="F5" s="146"/>
    </row>
    <row r="6" spans="2:6" s="71" customFormat="1" ht="16.149999999999999" customHeight="1" x14ac:dyDescent="0.3">
      <c r="B6" s="147" t="s">
        <v>30</v>
      </c>
      <c r="C6" s="147"/>
      <c r="D6" s="148" t="s">
        <v>204</v>
      </c>
      <c r="E6" s="148"/>
      <c r="F6" s="148"/>
    </row>
    <row r="7" spans="2:6" s="71" customFormat="1" ht="15.75" customHeight="1" x14ac:dyDescent="0.3">
      <c r="B7" s="151" t="s">
        <v>31</v>
      </c>
      <c r="C7" s="151"/>
      <c r="D7" s="152" t="s">
        <v>32</v>
      </c>
      <c r="E7" s="152"/>
      <c r="F7" s="17" t="s">
        <v>143</v>
      </c>
    </row>
    <row r="8" spans="2:6" s="71" customFormat="1" ht="15.75" customHeight="1" x14ac:dyDescent="0.3">
      <c r="B8" s="147" t="s">
        <v>103</v>
      </c>
      <c r="C8" s="147"/>
      <c r="D8" s="149" t="s">
        <v>142</v>
      </c>
      <c r="E8" s="150"/>
      <c r="F8" s="17" t="s">
        <v>144</v>
      </c>
    </row>
    <row r="9" spans="2:6" s="71" customFormat="1" ht="9.75" customHeight="1" x14ac:dyDescent="0.3">
      <c r="C9" s="5"/>
      <c r="D9" s="83"/>
      <c r="E9" s="83"/>
      <c r="F9" s="84"/>
    </row>
    <row r="10" spans="2:6" s="71" customFormat="1" ht="15.75" customHeight="1" x14ac:dyDescent="0.3">
      <c r="B10" s="146" t="s">
        <v>102</v>
      </c>
      <c r="C10" s="146"/>
      <c r="D10" s="146"/>
      <c r="E10" s="146"/>
      <c r="F10" s="146"/>
    </row>
    <row r="11" spans="2:6" s="71" customFormat="1" ht="18" customHeight="1" x14ac:dyDescent="0.3">
      <c r="B11" s="18" t="s">
        <v>2</v>
      </c>
      <c r="C11" s="147" t="s">
        <v>57</v>
      </c>
      <c r="D11" s="147"/>
      <c r="E11" s="147"/>
      <c r="F11" s="19"/>
    </row>
    <row r="12" spans="2:6" s="71" customFormat="1" ht="16.149999999999999" customHeight="1" x14ac:dyDescent="0.15">
      <c r="B12" s="1" t="s">
        <v>3</v>
      </c>
      <c r="C12" s="57" t="s">
        <v>33</v>
      </c>
      <c r="D12" s="153" t="s">
        <v>200</v>
      </c>
      <c r="E12" s="153"/>
      <c r="F12" s="153"/>
    </row>
    <row r="13" spans="2:6" s="71" customFormat="1" ht="16.149999999999999" customHeight="1" x14ac:dyDescent="0.3">
      <c r="B13" s="18" t="s">
        <v>4</v>
      </c>
      <c r="C13" s="147" t="s">
        <v>134</v>
      </c>
      <c r="D13" s="147"/>
      <c r="E13" s="147"/>
      <c r="F13" s="59" t="s">
        <v>201</v>
      </c>
    </row>
    <row r="14" spans="2:6" s="71" customFormat="1" ht="18.75" customHeight="1" x14ac:dyDescent="0.3">
      <c r="B14" s="1" t="s">
        <v>5</v>
      </c>
      <c r="C14" s="154" t="s">
        <v>34</v>
      </c>
      <c r="D14" s="155"/>
      <c r="E14" s="156"/>
      <c r="F14" s="17" t="s">
        <v>205</v>
      </c>
    </row>
    <row r="15" spans="2:6" s="71" customFormat="1" ht="16.149999999999999" customHeight="1" x14ac:dyDescent="0.3">
      <c r="B15" s="1" t="s">
        <v>6</v>
      </c>
      <c r="C15" s="147" t="s">
        <v>58</v>
      </c>
      <c r="D15" s="147"/>
      <c r="E15" s="147"/>
      <c r="F15" s="55">
        <v>60</v>
      </c>
    </row>
    <row r="16" spans="2:6" s="71" customFormat="1" ht="16.149999999999999" customHeight="1" x14ac:dyDescent="0.3">
      <c r="C16" s="5"/>
      <c r="D16" s="83"/>
      <c r="E16" s="83"/>
      <c r="F16" s="84"/>
    </row>
    <row r="17" spans="2:6" s="71" customFormat="1" x14ac:dyDescent="0.3">
      <c r="B17" s="146" t="s">
        <v>104</v>
      </c>
      <c r="C17" s="146"/>
      <c r="D17" s="146"/>
      <c r="E17" s="146"/>
      <c r="F17" s="146"/>
    </row>
    <row r="18" spans="2:6" s="85" customFormat="1" ht="49.5" x14ac:dyDescent="0.2">
      <c r="B18" s="65" t="s">
        <v>135</v>
      </c>
      <c r="C18" s="65" t="s">
        <v>27</v>
      </c>
      <c r="D18" s="56" t="s">
        <v>105</v>
      </c>
      <c r="E18" s="56" t="s">
        <v>152</v>
      </c>
      <c r="F18" s="56" t="s">
        <v>106</v>
      </c>
    </row>
    <row r="19" spans="2:6" s="71" customFormat="1" ht="16.5" customHeight="1" x14ac:dyDescent="0.3">
      <c r="B19" s="18">
        <v>1</v>
      </c>
      <c r="C19" s="91" t="s">
        <v>207</v>
      </c>
      <c r="D19" s="67"/>
      <c r="E19" s="88">
        <v>1</v>
      </c>
      <c r="F19" s="67">
        <v>1</v>
      </c>
    </row>
    <row r="20" spans="2:6" s="71" customFormat="1" ht="16.149999999999999" customHeight="1" x14ac:dyDescent="0.3">
      <c r="B20" s="157" t="s">
        <v>196</v>
      </c>
      <c r="C20" s="157"/>
      <c r="D20" s="157"/>
      <c r="E20" s="157"/>
      <c r="F20" s="95" t="s">
        <v>199</v>
      </c>
    </row>
    <row r="21" spans="2:6" s="71" customFormat="1" ht="15" customHeight="1" x14ac:dyDescent="0.3">
      <c r="B21" s="11"/>
      <c r="C21" s="11"/>
      <c r="D21" s="11"/>
      <c r="E21" s="11"/>
      <c r="F21" s="11"/>
    </row>
    <row r="22" spans="2:6" s="71" customFormat="1" ht="15" customHeight="1" x14ac:dyDescent="0.3">
      <c r="B22" s="146" t="s">
        <v>107</v>
      </c>
      <c r="C22" s="146"/>
      <c r="D22" s="146"/>
      <c r="E22" s="146"/>
      <c r="F22" s="146"/>
    </row>
    <row r="23" spans="2:6" s="71" customFormat="1" ht="16.149999999999999" customHeight="1" x14ac:dyDescent="0.3">
      <c r="B23" s="18">
        <v>1</v>
      </c>
      <c r="C23" s="89" t="s">
        <v>53</v>
      </c>
      <c r="D23" s="163" t="s">
        <v>208</v>
      </c>
      <c r="E23" s="163"/>
      <c r="F23" s="163"/>
    </row>
    <row r="24" spans="2:6" s="71" customFormat="1" ht="16.149999999999999" customHeight="1" x14ac:dyDescent="0.3">
      <c r="B24" s="18">
        <v>2</v>
      </c>
      <c r="C24" s="20" t="s">
        <v>55</v>
      </c>
      <c r="D24" s="163" t="s">
        <v>206</v>
      </c>
      <c r="E24" s="163"/>
      <c r="F24" s="163"/>
    </row>
    <row r="25" spans="2:6" s="71" customFormat="1" ht="16.149999999999999" customHeight="1" x14ac:dyDescent="0.3">
      <c r="B25" s="18">
        <v>3</v>
      </c>
      <c r="C25" s="112" t="s">
        <v>56</v>
      </c>
      <c r="D25" s="112"/>
      <c r="E25" s="112"/>
      <c r="F25" s="19">
        <v>45658</v>
      </c>
    </row>
    <row r="26" spans="2:6" s="71" customFormat="1" x14ac:dyDescent="0.3">
      <c r="B26" s="18">
        <v>4</v>
      </c>
      <c r="C26" s="111" t="s">
        <v>128</v>
      </c>
      <c r="D26" s="111"/>
      <c r="E26" s="111"/>
      <c r="F26" s="58">
        <v>1518</v>
      </c>
    </row>
    <row r="27" spans="2:6" s="71" customFormat="1" x14ac:dyDescent="0.3">
      <c r="B27" s="21"/>
      <c r="C27" s="22"/>
      <c r="D27" s="22"/>
      <c r="E27" s="22"/>
      <c r="F27" s="86"/>
    </row>
    <row r="28" spans="2:6" ht="25.5" x14ac:dyDescent="0.5">
      <c r="B28" s="87" t="s">
        <v>146</v>
      </c>
      <c r="C28" s="7"/>
      <c r="D28" s="7"/>
      <c r="E28" s="7"/>
      <c r="F28" s="7"/>
    </row>
    <row r="29" spans="2:6" x14ac:dyDescent="0.3">
      <c r="B29" s="44" t="s">
        <v>8</v>
      </c>
      <c r="E29" s="8"/>
      <c r="F29" s="8"/>
    </row>
    <row r="30" spans="2:6" x14ac:dyDescent="0.3">
      <c r="B30" s="1">
        <v>1</v>
      </c>
      <c r="C30" s="116" t="s">
        <v>9</v>
      </c>
      <c r="D30" s="116"/>
      <c r="E30" s="116"/>
      <c r="F30" s="3" t="s">
        <v>195</v>
      </c>
    </row>
    <row r="31" spans="2:6" x14ac:dyDescent="0.3">
      <c r="B31" s="1" t="s">
        <v>2</v>
      </c>
      <c r="C31" s="117" t="s">
        <v>82</v>
      </c>
      <c r="D31" s="117"/>
      <c r="E31" s="117"/>
      <c r="F31" s="60">
        <v>11871.28</v>
      </c>
    </row>
    <row r="32" spans="2:6" x14ac:dyDescent="0.3">
      <c r="B32" s="1" t="s">
        <v>3</v>
      </c>
      <c r="C32" s="118" t="s">
        <v>73</v>
      </c>
      <c r="D32" s="119"/>
      <c r="E32" s="120"/>
      <c r="F32" s="61">
        <v>0</v>
      </c>
    </row>
    <row r="33" spans="1:6" x14ac:dyDescent="0.3">
      <c r="B33" s="1" t="s">
        <v>4</v>
      </c>
      <c r="C33" s="117" t="s">
        <v>75</v>
      </c>
      <c r="D33" s="117"/>
      <c r="E33" s="117"/>
      <c r="F33" s="61">
        <v>0</v>
      </c>
    </row>
    <row r="34" spans="1:6" x14ac:dyDescent="0.3">
      <c r="B34" s="1" t="s">
        <v>5</v>
      </c>
      <c r="C34" s="113" t="s">
        <v>147</v>
      </c>
      <c r="D34" s="114"/>
      <c r="E34" s="115"/>
      <c r="F34" s="61">
        <v>0</v>
      </c>
    </row>
    <row r="35" spans="1:6" x14ac:dyDescent="0.3">
      <c r="B35" s="1" t="s">
        <v>6</v>
      </c>
      <c r="C35" s="124" t="s">
        <v>136</v>
      </c>
      <c r="D35" s="124"/>
      <c r="E35" s="124"/>
      <c r="F35" s="60"/>
    </row>
    <row r="36" spans="1:6" x14ac:dyDescent="0.3">
      <c r="B36" s="1" t="s">
        <v>7</v>
      </c>
      <c r="C36" s="124" t="s">
        <v>137</v>
      </c>
      <c r="D36" s="124"/>
      <c r="E36" s="124"/>
      <c r="F36" s="60"/>
    </row>
    <row r="37" spans="1:6" s="78" customFormat="1" x14ac:dyDescent="0.3">
      <c r="B37" s="1" t="s">
        <v>10</v>
      </c>
      <c r="C37" s="124" t="s">
        <v>138</v>
      </c>
      <c r="D37" s="124"/>
      <c r="E37" s="124"/>
      <c r="F37" s="60"/>
    </row>
    <row r="38" spans="1:6" s="78" customFormat="1" ht="9.75" customHeight="1" x14ac:dyDescent="0.3">
      <c r="A38" s="7"/>
    </row>
    <row r="39" spans="1:6" s="78" customFormat="1" x14ac:dyDescent="0.3">
      <c r="B39" s="44" t="s">
        <v>59</v>
      </c>
      <c r="C39" s="12"/>
      <c r="D39" s="12"/>
      <c r="E39" s="14"/>
      <c r="F39" s="14"/>
    </row>
    <row r="40" spans="1:6" s="78" customFormat="1" ht="6.75" customHeight="1" x14ac:dyDescent="0.3">
      <c r="A40" s="7"/>
    </row>
    <row r="41" spans="1:6" s="78" customFormat="1" ht="15" customHeight="1" x14ac:dyDescent="0.3">
      <c r="A41" s="7"/>
      <c r="B41" s="44" t="s">
        <v>180</v>
      </c>
      <c r="C41" s="71"/>
      <c r="D41" s="71"/>
      <c r="E41" s="71"/>
      <c r="F41" s="71"/>
    </row>
    <row r="42" spans="1:6" s="78" customFormat="1" x14ac:dyDescent="0.3">
      <c r="A42" s="7"/>
      <c r="B42" s="1" t="s">
        <v>62</v>
      </c>
      <c r="C42" s="138" t="s">
        <v>181</v>
      </c>
      <c r="D42" s="139"/>
      <c r="E42" s="140"/>
      <c r="F42" s="3" t="s">
        <v>182</v>
      </c>
    </row>
    <row r="43" spans="1:6" s="78" customFormat="1" x14ac:dyDescent="0.3">
      <c r="B43" s="66" t="s">
        <v>4</v>
      </c>
      <c r="C43" s="158" t="s">
        <v>183</v>
      </c>
      <c r="D43" s="159"/>
      <c r="E43" s="160"/>
      <c r="F43" s="109">
        <v>2</v>
      </c>
    </row>
    <row r="44" spans="1:6" s="78" customFormat="1" x14ac:dyDescent="0.3">
      <c r="A44" s="7"/>
    </row>
    <row r="45" spans="1:6" s="78" customFormat="1" ht="15" customHeight="1" x14ac:dyDescent="0.3">
      <c r="A45" s="7"/>
      <c r="B45" s="44" t="s">
        <v>64</v>
      </c>
      <c r="C45" s="71"/>
      <c r="D45" s="71"/>
      <c r="E45" s="71"/>
      <c r="F45" s="71"/>
    </row>
    <row r="46" spans="1:6" s="78" customFormat="1" ht="33" x14ac:dyDescent="0.3">
      <c r="A46" s="7"/>
      <c r="B46" s="1" t="s">
        <v>81</v>
      </c>
      <c r="C46" s="161" t="s">
        <v>14</v>
      </c>
      <c r="D46" s="162"/>
      <c r="E46" s="3" t="s">
        <v>194</v>
      </c>
      <c r="F46" s="3" t="s">
        <v>195</v>
      </c>
    </row>
    <row r="47" spans="1:6" s="78" customFormat="1" x14ac:dyDescent="0.3">
      <c r="B47" s="66" t="s">
        <v>2</v>
      </c>
      <c r="C47" s="112" t="s">
        <v>15</v>
      </c>
      <c r="D47" s="112"/>
      <c r="E47" s="55" t="s">
        <v>36</v>
      </c>
      <c r="F47" s="26">
        <v>11</v>
      </c>
    </row>
    <row r="48" spans="1:6" s="78" customFormat="1" x14ac:dyDescent="0.3">
      <c r="B48" s="66" t="s">
        <v>3</v>
      </c>
      <c r="C48" s="111" t="s">
        <v>63</v>
      </c>
      <c r="D48" s="111"/>
      <c r="E48" s="23" t="s">
        <v>36</v>
      </c>
      <c r="F48" s="26">
        <v>45.6</v>
      </c>
    </row>
    <row r="49" spans="1:6" x14ac:dyDescent="0.3">
      <c r="B49" s="164" t="s">
        <v>193</v>
      </c>
      <c r="C49" s="164"/>
      <c r="D49" s="165"/>
      <c r="E49" s="107"/>
      <c r="F49" s="108"/>
    </row>
    <row r="50" spans="1:6" x14ac:dyDescent="0.3">
      <c r="B50" s="66" t="s">
        <v>4</v>
      </c>
      <c r="C50" s="126" t="s">
        <v>139</v>
      </c>
      <c r="D50" s="127"/>
      <c r="E50" s="64"/>
      <c r="F50" s="60"/>
    </row>
    <row r="51" spans="1:6" x14ac:dyDescent="0.3">
      <c r="B51" s="66" t="s">
        <v>5</v>
      </c>
      <c r="C51" s="126" t="s">
        <v>140</v>
      </c>
      <c r="D51" s="127"/>
      <c r="E51" s="64"/>
      <c r="F51" s="60"/>
    </row>
    <row r="52" spans="1:6" s="78" customFormat="1" x14ac:dyDescent="0.3">
      <c r="B52" s="66" t="s">
        <v>6</v>
      </c>
      <c r="C52" s="126" t="s">
        <v>141</v>
      </c>
      <c r="D52" s="127"/>
      <c r="E52" s="64"/>
      <c r="F52" s="60"/>
    </row>
    <row r="53" spans="1:6" x14ac:dyDescent="0.3">
      <c r="B53" s="78"/>
      <c r="C53" s="78"/>
      <c r="D53" s="78"/>
      <c r="E53" s="78"/>
      <c r="F53" s="78"/>
    </row>
    <row r="54" spans="1:6" x14ac:dyDescent="0.3">
      <c r="B54" s="44" t="s">
        <v>177</v>
      </c>
      <c r="C54" s="6"/>
      <c r="D54" s="15"/>
      <c r="E54" s="13"/>
      <c r="F54" s="13"/>
    </row>
    <row r="55" spans="1:6" ht="15" customHeight="1" x14ac:dyDescent="0.3">
      <c r="B55" s="1" t="s">
        <v>178</v>
      </c>
      <c r="C55" s="137" t="s">
        <v>179</v>
      </c>
      <c r="D55" s="137"/>
      <c r="E55" s="137"/>
      <c r="F55" s="3" t="s">
        <v>164</v>
      </c>
    </row>
    <row r="56" spans="1:6" ht="15" customHeight="1" x14ac:dyDescent="0.3">
      <c r="B56" s="1" t="s">
        <v>2</v>
      </c>
      <c r="C56" s="117" t="s">
        <v>115</v>
      </c>
      <c r="D56" s="117"/>
      <c r="E56" s="117"/>
      <c r="F56" s="61"/>
    </row>
    <row r="57" spans="1:6" s="78" customFormat="1" x14ac:dyDescent="0.3">
      <c r="B57" s="1" t="s">
        <v>3</v>
      </c>
      <c r="C57" s="118" t="s">
        <v>124</v>
      </c>
      <c r="D57" s="119"/>
      <c r="E57" s="120"/>
      <c r="F57" s="61"/>
    </row>
    <row r="58" spans="1:6" s="71" customFormat="1" x14ac:dyDescent="0.3">
      <c r="B58" s="78"/>
      <c r="C58" s="78"/>
      <c r="D58" s="78"/>
      <c r="E58" s="78"/>
      <c r="F58" s="78"/>
    </row>
    <row r="59" spans="1:6" s="71" customFormat="1" ht="15" customHeight="1" x14ac:dyDescent="0.3">
      <c r="B59" s="44" t="s">
        <v>66</v>
      </c>
      <c r="C59" s="6"/>
      <c r="D59" s="15"/>
      <c r="E59" s="7"/>
      <c r="F59" s="7"/>
    </row>
    <row r="60" spans="1:6" x14ac:dyDescent="0.3">
      <c r="A60" s="71"/>
      <c r="B60" s="44" t="s">
        <v>93</v>
      </c>
      <c r="C60" s="6"/>
      <c r="D60" s="15"/>
      <c r="E60" s="13"/>
      <c r="F60" s="13"/>
    </row>
    <row r="61" spans="1:6" s="78" customFormat="1" x14ac:dyDescent="0.3">
      <c r="B61" s="1" t="s">
        <v>20</v>
      </c>
      <c r="C61" s="138" t="s">
        <v>94</v>
      </c>
      <c r="D61" s="139"/>
      <c r="E61" s="140"/>
      <c r="F61" s="3" t="s">
        <v>1</v>
      </c>
    </row>
    <row r="62" spans="1:6" x14ac:dyDescent="0.3">
      <c r="B62" s="2" t="s">
        <v>2</v>
      </c>
      <c r="C62" s="134" t="s">
        <v>192</v>
      </c>
      <c r="D62" s="135"/>
      <c r="E62" s="136"/>
      <c r="F62" s="62"/>
    </row>
    <row r="63" spans="1:6" x14ac:dyDescent="0.3">
      <c r="B63" s="78"/>
      <c r="C63" s="78"/>
      <c r="D63" s="78"/>
      <c r="E63" s="78"/>
      <c r="F63" s="78"/>
    </row>
    <row r="64" spans="1:6" x14ac:dyDescent="0.3">
      <c r="B64" s="44" t="s">
        <v>168</v>
      </c>
      <c r="C64" s="6"/>
      <c r="D64" s="15"/>
      <c r="E64" s="13"/>
      <c r="F64" s="13"/>
    </row>
    <row r="65" spans="1:6" s="78" customFormat="1" x14ac:dyDescent="0.3">
      <c r="B65" s="1" t="s">
        <v>21</v>
      </c>
      <c r="C65" s="137" t="s">
        <v>167</v>
      </c>
      <c r="D65" s="137"/>
      <c r="E65" s="137"/>
      <c r="F65" s="3" t="s">
        <v>164</v>
      </c>
    </row>
    <row r="66" spans="1:6" x14ac:dyDescent="0.3">
      <c r="B66" s="1" t="s">
        <v>2</v>
      </c>
      <c r="C66" s="118" t="s">
        <v>124</v>
      </c>
      <c r="D66" s="119"/>
      <c r="E66" s="120"/>
      <c r="F66" s="61"/>
    </row>
    <row r="67" spans="1:6" ht="15.75" customHeight="1" x14ac:dyDescent="0.3">
      <c r="B67" s="78"/>
      <c r="C67" s="78"/>
      <c r="D67" s="78"/>
      <c r="E67" s="78"/>
      <c r="F67" s="78"/>
    </row>
    <row r="68" spans="1:6" x14ac:dyDescent="0.3">
      <c r="B68" s="44" t="s">
        <v>68</v>
      </c>
      <c r="C68" s="6"/>
      <c r="D68" s="6"/>
      <c r="E68" s="13"/>
      <c r="F68" s="13"/>
    </row>
    <row r="69" spans="1:6" x14ac:dyDescent="0.3">
      <c r="B69" s="42">
        <v>5</v>
      </c>
      <c r="C69" s="131" t="s">
        <v>0</v>
      </c>
      <c r="D69" s="131"/>
      <c r="E69" s="131"/>
      <c r="F69" s="43" t="s">
        <v>13</v>
      </c>
    </row>
    <row r="70" spans="1:6" s="79" customFormat="1" x14ac:dyDescent="0.3">
      <c r="A70" s="7"/>
      <c r="B70" s="38" t="s">
        <v>2</v>
      </c>
      <c r="C70" s="132" t="s">
        <v>16</v>
      </c>
      <c r="D70" s="132"/>
      <c r="E70" s="132"/>
      <c r="F70" s="63">
        <v>229.5</v>
      </c>
    </row>
    <row r="71" spans="1:6" s="79" customFormat="1" x14ac:dyDescent="0.3">
      <c r="A71" s="7"/>
      <c r="B71" s="38" t="s">
        <v>3</v>
      </c>
      <c r="C71" s="133" t="s">
        <v>18</v>
      </c>
      <c r="D71" s="133"/>
      <c r="E71" s="133"/>
      <c r="F71" s="63"/>
    </row>
    <row r="72" spans="1:6" s="78" customFormat="1" x14ac:dyDescent="0.3">
      <c r="B72" s="38" t="s">
        <v>4</v>
      </c>
      <c r="C72" s="132" t="s">
        <v>17</v>
      </c>
      <c r="D72" s="132"/>
      <c r="E72" s="132"/>
      <c r="F72" s="63"/>
    </row>
    <row r="73" spans="1:6" s="80" customFormat="1" ht="16.5" customHeight="1" x14ac:dyDescent="0.3">
      <c r="A73" s="7"/>
      <c r="B73" s="38" t="s">
        <v>5</v>
      </c>
      <c r="C73" s="124" t="s">
        <v>77</v>
      </c>
      <c r="D73" s="124"/>
      <c r="E73" s="124"/>
      <c r="F73" s="60"/>
    </row>
    <row r="74" spans="1:6" s="81" customFormat="1" ht="16.5" customHeight="1" x14ac:dyDescent="0.3">
      <c r="A74" s="7"/>
      <c r="B74" s="78"/>
      <c r="C74" s="78"/>
      <c r="D74" s="78"/>
      <c r="E74" s="78"/>
      <c r="F74" s="78"/>
    </row>
    <row r="75" spans="1:6" s="81" customFormat="1" x14ac:dyDescent="0.3">
      <c r="A75" s="79"/>
      <c r="B75" s="125" t="s">
        <v>67</v>
      </c>
      <c r="C75" s="125"/>
      <c r="D75" s="125"/>
      <c r="E75" s="125"/>
      <c r="F75" s="125"/>
    </row>
    <row r="76" spans="1:6" s="81" customFormat="1" x14ac:dyDescent="0.3">
      <c r="A76" s="79"/>
      <c r="B76" s="1">
        <v>6</v>
      </c>
      <c r="C76" s="128" t="s">
        <v>22</v>
      </c>
      <c r="D76" s="129"/>
      <c r="E76" s="130"/>
      <c r="F76" s="3" t="s">
        <v>1</v>
      </c>
    </row>
    <row r="77" spans="1:6" s="81" customFormat="1" x14ac:dyDescent="0.3">
      <c r="A77" s="80"/>
      <c r="B77" s="1" t="s">
        <v>2</v>
      </c>
      <c r="C77" s="121" t="s">
        <v>69</v>
      </c>
      <c r="D77" s="122"/>
      <c r="E77" s="123"/>
      <c r="F77" s="94">
        <v>4.7300000000000004</v>
      </c>
    </row>
    <row r="78" spans="1:6" x14ac:dyDescent="0.3">
      <c r="B78" s="2" t="s">
        <v>3</v>
      </c>
      <c r="C78" s="118" t="s">
        <v>29</v>
      </c>
      <c r="D78" s="119"/>
      <c r="E78" s="120"/>
      <c r="F78" s="94">
        <v>5.57</v>
      </c>
    </row>
    <row r="79" spans="1:6" x14ac:dyDescent="0.3">
      <c r="B79" s="24" t="s">
        <v>70</v>
      </c>
      <c r="C79" s="121" t="s">
        <v>24</v>
      </c>
      <c r="D79" s="122"/>
      <c r="E79" s="123">
        <f>PERC_PIS</f>
        <v>0.65</v>
      </c>
      <c r="F79" s="94">
        <v>0.65</v>
      </c>
    </row>
    <row r="80" spans="1:6" s="78" customFormat="1" x14ac:dyDescent="0.3">
      <c r="B80" s="24" t="s">
        <v>71</v>
      </c>
      <c r="C80" s="118" t="s">
        <v>25</v>
      </c>
      <c r="D80" s="119"/>
      <c r="E80" s="120">
        <f>PERC_COFINS</f>
        <v>3</v>
      </c>
      <c r="F80" s="94">
        <v>3</v>
      </c>
    </row>
    <row r="81" spans="2:6" x14ac:dyDescent="0.3">
      <c r="B81" s="24" t="s">
        <v>72</v>
      </c>
      <c r="C81" s="121" t="s">
        <v>26</v>
      </c>
      <c r="D81" s="122"/>
      <c r="E81" s="123">
        <f>PERC_ISS</f>
        <v>5</v>
      </c>
      <c r="F81" s="94">
        <v>5</v>
      </c>
    </row>
    <row r="82" spans="2:6" ht="14.25" customHeight="1" x14ac:dyDescent="0.3">
      <c r="B82" s="78"/>
      <c r="C82" s="78"/>
      <c r="D82" s="78"/>
      <c r="E82" s="78"/>
      <c r="F82" s="78"/>
    </row>
    <row r="83" spans="2:6" ht="32.25" customHeight="1" x14ac:dyDescent="0.3">
      <c r="B83" s="27" t="s">
        <v>145</v>
      </c>
      <c r="C83" s="28"/>
      <c r="D83" s="28"/>
      <c r="E83" s="28"/>
      <c r="F83" s="29"/>
    </row>
    <row r="84" spans="2:6" ht="36.75" customHeight="1" x14ac:dyDescent="0.3">
      <c r="B84" s="141" t="s">
        <v>184</v>
      </c>
      <c r="C84" s="141"/>
      <c r="D84" s="141"/>
      <c r="E84" s="141"/>
      <c r="F84" s="141"/>
    </row>
  </sheetData>
  <mergeCells count="60">
    <mergeCell ref="B20:E20"/>
    <mergeCell ref="C55:E55"/>
    <mergeCell ref="C56:E56"/>
    <mergeCell ref="C57:E57"/>
    <mergeCell ref="C42:E42"/>
    <mergeCell ref="C43:E43"/>
    <mergeCell ref="C47:D47"/>
    <mergeCell ref="C46:D46"/>
    <mergeCell ref="C48:D48"/>
    <mergeCell ref="D23:F23"/>
    <mergeCell ref="C35:E35"/>
    <mergeCell ref="C37:E37"/>
    <mergeCell ref="C36:E36"/>
    <mergeCell ref="B22:F22"/>
    <mergeCell ref="D24:F24"/>
    <mergeCell ref="B49:D49"/>
    <mergeCell ref="D8:E8"/>
    <mergeCell ref="B17:F17"/>
    <mergeCell ref="B7:C7"/>
    <mergeCell ref="D7:E7"/>
    <mergeCell ref="B10:F10"/>
    <mergeCell ref="C11:E11"/>
    <mergeCell ref="D12:F12"/>
    <mergeCell ref="C14:E14"/>
    <mergeCell ref="B8:C8"/>
    <mergeCell ref="C13:E13"/>
    <mergeCell ref="C15:E15"/>
    <mergeCell ref="B1:F1"/>
    <mergeCell ref="B2:D2"/>
    <mergeCell ref="B4:F4"/>
    <mergeCell ref="B5:F5"/>
    <mergeCell ref="B6:C6"/>
    <mergeCell ref="D6:F6"/>
    <mergeCell ref="B84:F84"/>
    <mergeCell ref="C79:E79"/>
    <mergeCell ref="C81:E81"/>
    <mergeCell ref="C78:E78"/>
    <mergeCell ref="C80:E80"/>
    <mergeCell ref="C77:E77"/>
    <mergeCell ref="C73:E73"/>
    <mergeCell ref="B75:F75"/>
    <mergeCell ref="C50:D50"/>
    <mergeCell ref="C51:D51"/>
    <mergeCell ref="C52:D52"/>
    <mergeCell ref="C76:E76"/>
    <mergeCell ref="C69:E69"/>
    <mergeCell ref="C70:E70"/>
    <mergeCell ref="C71:E71"/>
    <mergeCell ref="C72:E72"/>
    <mergeCell ref="C62:E62"/>
    <mergeCell ref="C65:E65"/>
    <mergeCell ref="C66:E66"/>
    <mergeCell ref="C61:E61"/>
    <mergeCell ref="C26:E26"/>
    <mergeCell ref="C25:E25"/>
    <mergeCell ref="C34:E34"/>
    <mergeCell ref="C30:E30"/>
    <mergeCell ref="C31:E31"/>
    <mergeCell ref="C32:E32"/>
    <mergeCell ref="C33:E33"/>
  </mergeCells>
  <dataValidations count="15">
    <dataValidation type="whole" allowBlank="1" showInputMessage="1" showErrorMessage="1" errorTitle="Erro na inserção de dados." error="O percentual de ISS deve estar entre 2 e 5%, conforme o inciso I do artigo 8º e o caput do art. 8º-A da Lei Complementar nº 116/2003." sqref="F81" xr:uid="{00000000-0002-0000-0000-000000000000}">
      <formula1>2</formula1>
      <formula2>5</formula2>
    </dataValidation>
    <dataValidation type="whole" errorStyle="warning" operator="equal" allowBlank="1" showInputMessage="1" showErrorMessage="1" errorTitle="Atentar para o percentual." error="Tem certeza que o percentual do Cofins é diferente de 3%, previsto no art. 31 da Lei nº 10.833/2003?" sqref="F80" xr:uid="{00000000-0002-0000-0000-000001000000}">
      <formula1>3</formula1>
    </dataValidation>
    <dataValidation type="decimal" errorStyle="warning" operator="equal" allowBlank="1" showInputMessage="1" showErrorMessage="1" errorTitle="Atentar para o percentual." error="Tem certeza que o percentual do PIS é diferente de 0,65%, previsto no art. 31 da Lei nº 10.833/2003?" sqref="F79" xr:uid="{00000000-0002-0000-0000-000002000000}">
      <formula1>0.65</formula1>
    </dataValidation>
    <dataValidation type="decimal" errorStyle="warning" allowBlank="1" showInputMessage="1" showErrorMessage="1" errorTitle="Erro na inserção de dados." error="O percentual recomendado de lucro é de 5,57%, conforme estudos realizados pela Auditoria Interna do MPU." sqref="F78" xr:uid="{00000000-0002-0000-0000-000003000000}">
      <formula1>0</formula1>
      <formula2>5.57</formula2>
    </dataValidation>
    <dataValidation type="decimal" errorStyle="warning" allowBlank="1" showInputMessage="1" showErrorMessage="1" errorTitle="Erro na inserção de dados." error="O percentual recomendado de custos indiretos é de 4,73%, conforme estudos realizados pela Auditoria Interna do MPU." sqref="F77" xr:uid="{00000000-0002-0000-0000-000004000000}">
      <formula1>0</formula1>
      <formula2>4.73</formula2>
    </dataValidation>
    <dataValidation type="decimal" errorStyle="warning" operator="greaterThanOrEqual" allowBlank="1" showInputMessage="1" showErrorMessage="1" errorTitle="Atentar para o valor do salário." error="Tem certeza que o valor do salário-base é menor do que o salário mínimo vigente no país?" sqref="F31" xr:uid="{00000000-0002-0000-0000-000005000000}">
      <formula1>F26</formula1>
    </dataValidation>
    <dataValidation type="list" operator="equal" allowBlank="1" showInputMessage="1" showErrorMessage="1" errorTitle="Erro na inserção de dados." error="De acordo com o art. 192 da CLT, estão previstos somente os percentuais de 40% (máximo), 20% (médio) ou 10% (mínimo), conforme for a exposição ao risco." sqref="F34" xr:uid="{00000000-0002-0000-0000-000006000000}">
      <formula1>"0,10,20,40"</formula1>
    </dataValidation>
    <dataValidation type="whole" errorStyle="warning" operator="equal" allowBlank="1" showInputMessage="1" showErrorMessage="1" errorTitle="Atenção para a inclusão do item." error="Tem certeza que deseja incluir este item de custo e que o tempo de intervalo está de acordo com o previsto na CCT da categoria?" promptTitle="Intervalo Intrajornada" prompt="Segundo estudos da Audin-MPU, esse item não é usual nas planilhas do MPU. Verifique se realmente há necessidade de incluí-lo." sqref="F66" xr:uid="{00000000-0002-0000-0000-000007000000}">
      <formula1>0</formula1>
    </dataValidation>
    <dataValidation type="list" allowBlank="1" showInputMessage="1" showErrorMessage="1" sqref="F13" xr:uid="{00000000-0002-0000-0000-000008000000}">
      <formula1>"AC,AL,AP,AM,BA,CE,DF,ES,GO,MA,MG,MS,MT,PA,PB,PR,PE,PI,RJ,RN,RO,RR,RS,SC,SP,SE,TO"</formula1>
    </dataValidation>
    <dataValidation type="whole" errorStyle="warning" allowBlank="1" showInputMessage="1" showErrorMessage="1" errorTitle="Erro na inserção de dados." error="Conforme previsto no caput do art. 71 c/c o inc. III do art. 611-A da CLT, considera-se o intervalo mínimo de 60 minutos para repouso ou alimentação, salvo previsão em CCT, respeitado o limite mínimo de 30 minutos." promptTitle="Intervalo Intrajornada" prompt="Segundo estudos da Audin-MPU, esse item não é usual nas planilhas do MPU. Verifique se realmente há necessidade de incluí-lo." sqref="F57" xr:uid="{00000000-0002-0000-0000-000009000000}">
      <formula1>30</formula1>
      <formula2>60</formula2>
    </dataValidation>
    <dataValidation type="whole" operator="greaterThanOrEqual" allowBlank="1" showInputMessage="1" showErrorMessage="1" errorTitle="Erro na inserção de dados." error="De acordo com o disposto na Súmula TST nº 437, com base no art. 71, §4º, da CLT, haverá acréscimo de, no mínimo, 50% sobre o valor da remuneração normal do dia de trabalho." promptTitle="Intervalo Intrajornada" prompt="Segundo estudos da Audin-MPU, esse item não é usual nas planilhas do MPU. Verifique se realmente há necessidade de incluí-lo." sqref="F56" xr:uid="{00000000-0002-0000-0000-00000A000000}">
      <formula1>50</formula1>
    </dataValidation>
    <dataValidation type="decimal" allowBlank="1" showInputMessage="1" showErrorMessage="1" errorTitle="Erro na inserção de dados" error="O FAP é um multiplicador, atualmente calculado por estabelecimento, que varia de 0,5000 a 2,0000, conforme previsto no art. 10 da Lei nº 10.666/03." sqref="F43" xr:uid="{00000000-0002-0000-0000-00000B000000}">
      <formula1>0.5</formula1>
      <formula2>2</formula2>
    </dataValidation>
    <dataValidation type="list" errorStyle="warning" operator="equal" allowBlank="1" showInputMessage="1" showErrorMessage="1" errorTitle="Atentar para a base de cálculo." error="Tem certeza que o adicional de insalubridade tem como base de cálculo o salário normativo previsto na CCT?" sqref="F20" xr:uid="{00000000-0002-0000-0000-00000C000000}">
      <formula1>"CCT,Salário Mínimo"</formula1>
    </dataValidation>
    <dataValidation type="decimal" operator="lessThanOrEqual" allowBlank="1" showInputMessage="1" showErrorMessage="1" errorTitle="Erro na inserção de dados." error="O percentual máximo de desconto para empresas que aderem ao Programa de Assistência ao Trabalhador (PAT) é de 20%, conforme o disposto no art. 645, § 2º, do Decreto nº 9.580/18." sqref="F49" xr:uid="{00000000-0002-0000-0000-00000D000000}">
      <formula1>20</formula1>
    </dataValidation>
    <dataValidation type="list" errorStyle="warning" showInputMessage="1" showErrorMessage="1" errorTitle="Atenção!" error="Se a resposta for &quot;Sim&quot;, deverá ser incluído o percentual do PAT na coluna ao lado. Caso seja &quot;Não&quot;, não há necessidade." sqref="E49" xr:uid="{00000000-0002-0000-0000-00000E000000}">
      <formula1>"Sim,Não"</formula1>
    </dataValidation>
  </dataValidations>
  <pageMargins left="0.17" right="0.17" top="0.46" bottom="1.06" header="0.31496062000000002" footer="0.3149606200000000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workbookViewId="0">
      <selection activeCell="B1" sqref="B1"/>
    </sheetView>
  </sheetViews>
  <sheetFormatPr defaultColWidth="9.140625" defaultRowHeight="16.5" x14ac:dyDescent="0.3"/>
  <cols>
    <col min="1" max="1" width="2.7109375" style="7" customWidth="1"/>
    <col min="2" max="2" width="8.7109375" style="7" customWidth="1"/>
    <col min="3" max="3" width="52.42578125" style="12" customWidth="1"/>
    <col min="4" max="4" width="9.42578125" style="12" customWidth="1"/>
    <col min="5" max="5" width="13.42578125" style="12" customWidth="1"/>
    <col min="6" max="6" width="15.42578125" style="12" bestFit="1" customWidth="1"/>
    <col min="7" max="16384" width="9.140625" style="7"/>
  </cols>
  <sheetData>
    <row r="1" spans="1:6" s="71" customFormat="1" ht="25.5" x14ac:dyDescent="0.5">
      <c r="B1" s="87" t="s">
        <v>153</v>
      </c>
      <c r="C1" s="7"/>
      <c r="D1" s="7"/>
      <c r="E1" s="7"/>
      <c r="F1" s="7"/>
    </row>
    <row r="2" spans="1:6" x14ac:dyDescent="0.3">
      <c r="B2" s="44" t="s">
        <v>8</v>
      </c>
      <c r="E2" s="8"/>
      <c r="F2" s="8"/>
    </row>
    <row r="3" spans="1:6" ht="33" x14ac:dyDescent="0.3">
      <c r="B3" s="1">
        <v>1</v>
      </c>
      <c r="C3" s="116" t="s">
        <v>9</v>
      </c>
      <c r="D3" s="116"/>
      <c r="E3" s="116"/>
      <c r="F3" s="3" t="s">
        <v>169</v>
      </c>
    </row>
    <row r="4" spans="1:6" x14ac:dyDescent="0.3">
      <c r="B4" s="1" t="s">
        <v>6</v>
      </c>
      <c r="C4" s="121" t="s">
        <v>113</v>
      </c>
      <c r="D4" s="122"/>
      <c r="E4" s="123"/>
      <c r="F4" s="96">
        <v>220</v>
      </c>
    </row>
    <row r="5" spans="1:6" x14ac:dyDescent="0.3">
      <c r="B5" s="1" t="s">
        <v>7</v>
      </c>
      <c r="C5" s="166" t="s">
        <v>109</v>
      </c>
      <c r="D5" s="166"/>
      <c r="E5" s="166"/>
      <c r="F5" s="97">
        <v>7</v>
      </c>
    </row>
    <row r="6" spans="1:6" x14ac:dyDescent="0.3">
      <c r="B6" s="1" t="s">
        <v>10</v>
      </c>
      <c r="C6" s="121" t="s">
        <v>108</v>
      </c>
      <c r="D6" s="122"/>
      <c r="E6" s="123"/>
      <c r="F6" s="96">
        <v>365</v>
      </c>
    </row>
    <row r="7" spans="1:6" x14ac:dyDescent="0.3">
      <c r="B7" s="1" t="s">
        <v>12</v>
      </c>
      <c r="C7" s="166" t="s">
        <v>132</v>
      </c>
      <c r="D7" s="166"/>
      <c r="E7" s="166"/>
      <c r="F7" s="98">
        <v>15.2</v>
      </c>
    </row>
    <row r="8" spans="1:6" x14ac:dyDescent="0.3">
      <c r="B8" s="1" t="s">
        <v>112</v>
      </c>
      <c r="C8" s="121" t="s">
        <v>114</v>
      </c>
      <c r="D8" s="122"/>
      <c r="E8" s="123"/>
      <c r="F8" s="96">
        <v>12</v>
      </c>
    </row>
    <row r="9" spans="1:6" x14ac:dyDescent="0.3">
      <c r="B9" s="1" t="s">
        <v>119</v>
      </c>
      <c r="C9" s="166" t="s">
        <v>110</v>
      </c>
      <c r="D9" s="166"/>
      <c r="E9" s="166"/>
      <c r="F9" s="97">
        <v>60</v>
      </c>
    </row>
    <row r="10" spans="1:6" x14ac:dyDescent="0.3">
      <c r="B10" s="1" t="s">
        <v>120</v>
      </c>
      <c r="C10" s="121" t="s">
        <v>111</v>
      </c>
      <c r="D10" s="122"/>
      <c r="E10" s="123"/>
      <c r="F10" s="99">
        <v>52.5</v>
      </c>
    </row>
    <row r="11" spans="1:6" s="78" customFormat="1" x14ac:dyDescent="0.3"/>
    <row r="12" spans="1:6" s="78" customFormat="1" x14ac:dyDescent="0.3">
      <c r="A12" s="7"/>
      <c r="B12" s="44" t="s">
        <v>64</v>
      </c>
      <c r="C12" s="71"/>
      <c r="D12" s="71"/>
      <c r="E12" s="71"/>
      <c r="F12" s="71"/>
    </row>
    <row r="13" spans="1:6" s="78" customFormat="1" ht="15" customHeight="1" x14ac:dyDescent="0.3">
      <c r="A13" s="7"/>
      <c r="B13" s="1" t="s">
        <v>81</v>
      </c>
      <c r="C13" s="161" t="s">
        <v>14</v>
      </c>
      <c r="D13" s="162"/>
      <c r="E13" s="3" t="s">
        <v>35</v>
      </c>
      <c r="F13" s="3" t="s">
        <v>1</v>
      </c>
    </row>
    <row r="14" spans="1:6" s="78" customFormat="1" x14ac:dyDescent="0.3">
      <c r="B14" s="66" t="s">
        <v>2</v>
      </c>
      <c r="C14" s="112" t="s">
        <v>133</v>
      </c>
      <c r="D14" s="112"/>
      <c r="E14" s="55" t="s">
        <v>131</v>
      </c>
      <c r="F14" s="103">
        <v>6</v>
      </c>
    </row>
    <row r="15" spans="1:6" s="78" customFormat="1" x14ac:dyDescent="0.3">
      <c r="B15" s="66" t="s">
        <v>3</v>
      </c>
      <c r="C15" s="111" t="s">
        <v>190</v>
      </c>
      <c r="D15" s="111"/>
      <c r="E15" s="23" t="s">
        <v>131</v>
      </c>
      <c r="F15" s="100">
        <v>15</v>
      </c>
    </row>
    <row r="16" spans="1:6" s="78" customFormat="1" x14ac:dyDescent="0.3">
      <c r="B16" s="66" t="s">
        <v>4</v>
      </c>
      <c r="C16" s="112" t="s">
        <v>191</v>
      </c>
      <c r="D16" s="112"/>
      <c r="E16" s="55" t="s">
        <v>131</v>
      </c>
      <c r="F16" s="103">
        <v>21</v>
      </c>
    </row>
    <row r="17" spans="1:6" s="78" customFormat="1" x14ac:dyDescent="0.3"/>
    <row r="18" spans="1:6" s="71" customFormat="1" x14ac:dyDescent="0.3">
      <c r="A18" s="78"/>
      <c r="B18" s="44" t="s">
        <v>65</v>
      </c>
      <c r="C18" s="6"/>
      <c r="D18" s="15"/>
      <c r="E18" s="13"/>
      <c r="F18" s="13"/>
    </row>
    <row r="19" spans="1:6" s="71" customFormat="1" x14ac:dyDescent="0.3">
      <c r="A19" s="78"/>
      <c r="B19" s="1">
        <v>3</v>
      </c>
      <c r="C19" s="128" t="s">
        <v>45</v>
      </c>
      <c r="D19" s="129"/>
      <c r="E19" s="130"/>
      <c r="F19" s="3" t="s">
        <v>170</v>
      </c>
    </row>
    <row r="20" spans="1:6" s="71" customFormat="1" x14ac:dyDescent="0.3">
      <c r="A20" s="78"/>
      <c r="B20" s="1" t="s">
        <v>2</v>
      </c>
      <c r="C20" s="121" t="s">
        <v>127</v>
      </c>
      <c r="D20" s="122"/>
      <c r="E20" s="123"/>
      <c r="F20" s="101">
        <v>62.93</v>
      </c>
    </row>
    <row r="21" spans="1:6" x14ac:dyDescent="0.3">
      <c r="A21" s="78"/>
      <c r="B21" s="2" t="s">
        <v>3</v>
      </c>
      <c r="C21" s="167" t="s">
        <v>116</v>
      </c>
      <c r="D21" s="168"/>
      <c r="E21" s="169"/>
      <c r="F21" s="102">
        <v>5.55</v>
      </c>
    </row>
    <row r="22" spans="1:6" s="71" customFormat="1" ht="16.149999999999999" customHeight="1" x14ac:dyDescent="0.15">
      <c r="B22" s="2" t="s">
        <v>4</v>
      </c>
      <c r="C22" s="121" t="s">
        <v>117</v>
      </c>
      <c r="D22" s="122"/>
      <c r="E22" s="123"/>
      <c r="F22" s="103">
        <v>40</v>
      </c>
    </row>
    <row r="23" spans="1:6" ht="16.5" customHeight="1" x14ac:dyDescent="0.3">
      <c r="A23" s="78"/>
      <c r="B23" s="2" t="s">
        <v>5</v>
      </c>
      <c r="C23" s="167" t="s">
        <v>118</v>
      </c>
      <c r="D23" s="168"/>
      <c r="E23" s="169"/>
      <c r="F23" s="102">
        <v>94.45</v>
      </c>
    </row>
    <row r="24" spans="1:6" x14ac:dyDescent="0.3">
      <c r="A24" s="78"/>
      <c r="B24" s="2" t="s">
        <v>6</v>
      </c>
      <c r="C24" s="121" t="s">
        <v>129</v>
      </c>
      <c r="D24" s="122"/>
      <c r="E24" s="123"/>
      <c r="F24" s="103">
        <v>30</v>
      </c>
    </row>
    <row r="25" spans="1:6" s="78" customFormat="1" x14ac:dyDescent="0.3"/>
    <row r="26" spans="1:6" s="71" customFormat="1" x14ac:dyDescent="0.3">
      <c r="B26" s="44" t="s">
        <v>66</v>
      </c>
      <c r="C26" s="6"/>
      <c r="D26" s="15"/>
      <c r="E26" s="7"/>
      <c r="F26" s="7"/>
    </row>
    <row r="27" spans="1:6" s="71" customFormat="1" ht="15" customHeight="1" x14ac:dyDescent="0.3">
      <c r="B27" s="44" t="s">
        <v>93</v>
      </c>
      <c r="C27" s="6"/>
      <c r="D27" s="15"/>
      <c r="E27" s="13"/>
      <c r="F27" s="13"/>
    </row>
    <row r="28" spans="1:6" s="71" customFormat="1" x14ac:dyDescent="0.15">
      <c r="B28" s="1" t="s">
        <v>20</v>
      </c>
      <c r="C28" s="138" t="s">
        <v>94</v>
      </c>
      <c r="D28" s="139"/>
      <c r="E28" s="140"/>
      <c r="F28" s="3" t="s">
        <v>170</v>
      </c>
    </row>
    <row r="29" spans="1:6" s="71" customFormat="1" x14ac:dyDescent="0.15">
      <c r="B29" s="1" t="s">
        <v>2</v>
      </c>
      <c r="C29" s="121" t="s">
        <v>121</v>
      </c>
      <c r="D29" s="122"/>
      <c r="E29" s="123"/>
      <c r="F29" s="103">
        <v>8</v>
      </c>
    </row>
    <row r="30" spans="1:6" x14ac:dyDescent="0.3">
      <c r="A30" s="71"/>
      <c r="B30" s="2" t="s">
        <v>3</v>
      </c>
      <c r="C30" s="118" t="s">
        <v>122</v>
      </c>
      <c r="D30" s="119"/>
      <c r="E30" s="120"/>
      <c r="F30" s="100">
        <v>5</v>
      </c>
    </row>
    <row r="31" spans="1:6" x14ac:dyDescent="0.3">
      <c r="A31" s="71"/>
      <c r="B31" s="2" t="s">
        <v>4</v>
      </c>
      <c r="C31" s="121" t="s">
        <v>123</v>
      </c>
      <c r="D31" s="122"/>
      <c r="E31" s="123"/>
      <c r="F31" s="101">
        <v>1.42</v>
      </c>
    </row>
    <row r="32" spans="1:6" x14ac:dyDescent="0.3">
      <c r="A32" s="71"/>
      <c r="B32" s="2" t="s">
        <v>5</v>
      </c>
      <c r="C32" s="118" t="s">
        <v>189</v>
      </c>
      <c r="D32" s="119"/>
      <c r="E32" s="120"/>
      <c r="F32" s="102">
        <v>86.46</v>
      </c>
    </row>
    <row r="33" spans="1:6" s="71" customFormat="1" ht="16.149999999999999" customHeight="1" x14ac:dyDescent="0.3">
      <c r="A33" s="7"/>
      <c r="B33" s="2" t="s">
        <v>6</v>
      </c>
      <c r="C33" s="121" t="s">
        <v>125</v>
      </c>
      <c r="D33" s="122"/>
      <c r="E33" s="123"/>
      <c r="F33" s="101">
        <f>(154800/34808000)*100</f>
        <v>0.44</v>
      </c>
    </row>
    <row r="34" spans="1:6" ht="15.75" customHeight="1" x14ac:dyDescent="0.3">
      <c r="A34" s="71"/>
      <c r="B34" s="2" t="s">
        <v>7</v>
      </c>
      <c r="C34" s="118" t="s">
        <v>130</v>
      </c>
      <c r="D34" s="119"/>
      <c r="E34" s="120"/>
      <c r="F34" s="100">
        <v>15</v>
      </c>
    </row>
    <row r="35" spans="1:6" ht="15.75" customHeight="1" x14ac:dyDescent="0.3">
      <c r="A35" s="71"/>
      <c r="B35" s="2" t="s">
        <v>10</v>
      </c>
      <c r="C35" s="121" t="s">
        <v>126</v>
      </c>
      <c r="D35" s="122"/>
      <c r="E35" s="123"/>
      <c r="F35" s="103">
        <v>120</v>
      </c>
    </row>
    <row r="36" spans="1:6" x14ac:dyDescent="0.3">
      <c r="A36" s="71"/>
      <c r="B36" s="2" t="s">
        <v>11</v>
      </c>
      <c r="C36" s="118" t="s">
        <v>163</v>
      </c>
      <c r="D36" s="119"/>
      <c r="E36" s="120"/>
      <c r="F36" s="102">
        <v>13.54</v>
      </c>
    </row>
    <row r="37" spans="1:6" s="78" customFormat="1" x14ac:dyDescent="0.3"/>
    <row r="38" spans="1:6" ht="20.25" x14ac:dyDescent="0.3">
      <c r="B38" s="27" t="s">
        <v>145</v>
      </c>
      <c r="C38" s="28"/>
      <c r="D38" s="28"/>
      <c r="E38" s="28"/>
      <c r="F38" s="29"/>
    </row>
    <row r="39" spans="1:6" ht="33.75" customHeight="1" x14ac:dyDescent="0.3">
      <c r="B39" s="141" t="s">
        <v>184</v>
      </c>
      <c r="C39" s="141"/>
      <c r="D39" s="141"/>
      <c r="E39" s="141"/>
      <c r="F39" s="141"/>
    </row>
  </sheetData>
  <sheetProtection sheet="1" objects="1" scenarios="1"/>
  <mergeCells count="28">
    <mergeCell ref="B39:F39"/>
    <mergeCell ref="C36:E36"/>
    <mergeCell ref="C35:E35"/>
    <mergeCell ref="C22:E22"/>
    <mergeCell ref="C23:E23"/>
    <mergeCell ref="C24:E24"/>
    <mergeCell ref="C28:E28"/>
    <mergeCell ref="C29:E29"/>
    <mergeCell ref="C30:E30"/>
    <mergeCell ref="C31:E31"/>
    <mergeCell ref="C32:E32"/>
    <mergeCell ref="C33:E33"/>
    <mergeCell ref="C34:E34"/>
    <mergeCell ref="C19:E19"/>
    <mergeCell ref="C20:E20"/>
    <mergeCell ref="C21:E21"/>
    <mergeCell ref="C13:D13"/>
    <mergeCell ref="C14:D14"/>
    <mergeCell ref="C15:D15"/>
    <mergeCell ref="C16:D16"/>
    <mergeCell ref="C10:E10"/>
    <mergeCell ref="C3:E3"/>
    <mergeCell ref="C4:E4"/>
    <mergeCell ref="C5:E5"/>
    <mergeCell ref="C6:E6"/>
    <mergeCell ref="C7:E7"/>
    <mergeCell ref="C8:E8"/>
    <mergeCell ref="C9:E9"/>
  </mergeCells>
  <pageMargins left="0.17" right="0.17" top="0.28999999999999998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F38"/>
  <sheetViews>
    <sheetView workbookViewId="0">
      <selection activeCell="B1" sqref="B1"/>
    </sheetView>
  </sheetViews>
  <sheetFormatPr defaultColWidth="9.140625" defaultRowHeight="16.5" x14ac:dyDescent="0.3"/>
  <cols>
    <col min="1" max="1" width="2.7109375" style="7" customWidth="1"/>
    <col min="2" max="2" width="8.7109375" style="7" customWidth="1"/>
    <col min="3" max="3" width="52.42578125" style="12" customWidth="1"/>
    <col min="4" max="4" width="22" style="12" customWidth="1"/>
    <col min="5" max="5" width="7" style="12" bestFit="1" customWidth="1"/>
    <col min="6" max="6" width="46" style="7" customWidth="1"/>
    <col min="7" max="16384" width="9.140625" style="7"/>
  </cols>
  <sheetData>
    <row r="1" spans="2:6" s="71" customFormat="1" ht="25.5" x14ac:dyDescent="0.5">
      <c r="B1" s="87" t="s">
        <v>154</v>
      </c>
      <c r="C1" s="7"/>
      <c r="D1" s="7"/>
      <c r="E1" s="7"/>
      <c r="F1" s="7"/>
    </row>
    <row r="2" spans="2:6" x14ac:dyDescent="0.3">
      <c r="B2" s="44" t="s">
        <v>59</v>
      </c>
      <c r="E2" s="14"/>
    </row>
    <row r="3" spans="2:6" x14ac:dyDescent="0.3">
      <c r="B3" s="44" t="s">
        <v>101</v>
      </c>
      <c r="C3" s="6"/>
      <c r="D3" s="15"/>
      <c r="E3" s="13"/>
    </row>
    <row r="4" spans="2:6" x14ac:dyDescent="0.3">
      <c r="B4" s="1" t="s">
        <v>60</v>
      </c>
      <c r="C4" s="137" t="s">
        <v>84</v>
      </c>
      <c r="D4" s="137"/>
      <c r="E4" s="3" t="s">
        <v>1</v>
      </c>
      <c r="F4" s="3" t="s">
        <v>155</v>
      </c>
    </row>
    <row r="5" spans="2:6" x14ac:dyDescent="0.3">
      <c r="B5" s="1" t="s">
        <v>2</v>
      </c>
      <c r="C5" s="173" t="s">
        <v>44</v>
      </c>
      <c r="D5" s="173"/>
      <c r="E5" s="104">
        <f>(1/MESES_NO_ANO)*100</f>
        <v>8.33</v>
      </c>
      <c r="F5" s="104" t="s">
        <v>156</v>
      </c>
    </row>
    <row r="6" spans="2:6" x14ac:dyDescent="0.3">
      <c r="B6" s="2" t="s">
        <v>3</v>
      </c>
      <c r="C6" s="174" t="s">
        <v>86</v>
      </c>
      <c r="D6" s="174"/>
      <c r="E6" s="105">
        <f>(1/3)/MESES_NO_ANO*100</f>
        <v>2.78</v>
      </c>
      <c r="F6" s="105" t="s">
        <v>157</v>
      </c>
    </row>
    <row r="7" spans="2:6" s="78" customFormat="1" x14ac:dyDescent="0.3">
      <c r="B7" s="175" t="s">
        <v>61</v>
      </c>
      <c r="C7" s="175"/>
      <c r="D7" s="175"/>
      <c r="E7" s="175"/>
      <c r="F7" s="175"/>
    </row>
    <row r="8" spans="2:6" s="78" customFormat="1" ht="34.5" customHeight="1" x14ac:dyDescent="0.3">
      <c r="B8" s="1" t="s">
        <v>62</v>
      </c>
      <c r="C8" s="177" t="s">
        <v>87</v>
      </c>
      <c r="D8" s="177"/>
      <c r="E8" s="3" t="s">
        <v>1</v>
      </c>
    </row>
    <row r="9" spans="2:6" x14ac:dyDescent="0.3">
      <c r="B9" s="1" t="s">
        <v>2</v>
      </c>
      <c r="C9" s="173" t="s">
        <v>38</v>
      </c>
      <c r="D9" s="173"/>
      <c r="E9" s="104">
        <v>20</v>
      </c>
    </row>
    <row r="10" spans="2:6" s="71" customFormat="1" x14ac:dyDescent="0.15">
      <c r="B10" s="2" t="s">
        <v>3</v>
      </c>
      <c r="C10" s="174" t="s">
        <v>40</v>
      </c>
      <c r="D10" s="174"/>
      <c r="E10" s="106">
        <v>2.5</v>
      </c>
    </row>
    <row r="11" spans="2:6" s="71" customFormat="1" x14ac:dyDescent="0.15">
      <c r="B11" s="2" t="s">
        <v>4</v>
      </c>
      <c r="C11" s="173" t="s">
        <v>172</v>
      </c>
      <c r="D11" s="173"/>
      <c r="E11" s="104">
        <f>IF(FAP&lt;&gt;"",3*FAP,3)</f>
        <v>6</v>
      </c>
    </row>
    <row r="12" spans="2:6" s="71" customFormat="1" x14ac:dyDescent="0.15">
      <c r="B12" s="2" t="s">
        <v>5</v>
      </c>
      <c r="C12" s="174" t="s">
        <v>79</v>
      </c>
      <c r="D12" s="174"/>
      <c r="E12" s="105">
        <v>1.5</v>
      </c>
    </row>
    <row r="13" spans="2:6" s="71" customFormat="1" x14ac:dyDescent="0.15">
      <c r="B13" s="2" t="s">
        <v>6</v>
      </c>
      <c r="C13" s="173" t="s">
        <v>80</v>
      </c>
      <c r="D13" s="173"/>
      <c r="E13" s="104">
        <v>1</v>
      </c>
    </row>
    <row r="14" spans="2:6" s="71" customFormat="1" x14ac:dyDescent="0.15">
      <c r="B14" s="2" t="s">
        <v>7</v>
      </c>
      <c r="C14" s="174" t="s">
        <v>42</v>
      </c>
      <c r="D14" s="174"/>
      <c r="E14" s="106">
        <v>0.6</v>
      </c>
    </row>
    <row r="15" spans="2:6" s="71" customFormat="1" x14ac:dyDescent="0.15">
      <c r="B15" s="2" t="s">
        <v>10</v>
      </c>
      <c r="C15" s="173" t="s">
        <v>39</v>
      </c>
      <c r="D15" s="173"/>
      <c r="E15" s="104">
        <v>0.2</v>
      </c>
    </row>
    <row r="16" spans="2:6" x14ac:dyDescent="0.3">
      <c r="B16" s="2" t="s">
        <v>11</v>
      </c>
      <c r="C16" s="174" t="s">
        <v>41</v>
      </c>
      <c r="D16" s="174"/>
      <c r="E16" s="106">
        <v>8</v>
      </c>
    </row>
    <row r="17" spans="2:6" x14ac:dyDescent="0.3">
      <c r="B17" s="137" t="s">
        <v>43</v>
      </c>
      <c r="C17" s="137"/>
      <c r="D17" s="137"/>
      <c r="E17" s="33">
        <f>SUM(E9:E16)</f>
        <v>39.799999999999997</v>
      </c>
    </row>
    <row r="18" spans="2:6" s="78" customFormat="1" x14ac:dyDescent="0.3">
      <c r="B18" s="44" t="s">
        <v>65</v>
      </c>
      <c r="C18" s="6"/>
      <c r="D18" s="15"/>
      <c r="E18" s="13"/>
    </row>
    <row r="19" spans="2:6" s="78" customFormat="1" ht="15" customHeight="1" x14ac:dyDescent="0.3">
      <c r="B19" s="1">
        <v>3</v>
      </c>
      <c r="C19" s="137" t="s">
        <v>45</v>
      </c>
      <c r="D19" s="137"/>
      <c r="E19" s="3" t="s">
        <v>1</v>
      </c>
      <c r="F19" s="3" t="s">
        <v>155</v>
      </c>
    </row>
    <row r="20" spans="2:6" s="78" customFormat="1" x14ac:dyDescent="0.3">
      <c r="B20" s="1" t="s">
        <v>2</v>
      </c>
      <c r="C20" s="178" t="s">
        <v>46</v>
      </c>
      <c r="D20" s="178"/>
      <c r="E20" s="104">
        <f>PERC_EMPREG_DEMIT_SEM_JUSTA_CAUSA_TOTAL_DESLIG%*PERC_EMPREG_AVISO_PREVIO_IND%*1/MESES_NO_ANO*100</f>
        <v>0.28999999999999998</v>
      </c>
      <c r="F20" s="104" t="s">
        <v>158</v>
      </c>
    </row>
    <row r="21" spans="2:6" s="78" customFormat="1" x14ac:dyDescent="0.3">
      <c r="B21" s="2" t="s">
        <v>3</v>
      </c>
      <c r="C21" s="176" t="s">
        <v>174</v>
      </c>
      <c r="D21" s="176"/>
      <c r="E21" s="106">
        <f>PERC_AVISO_PREVIO_IND%*PERC_FGTS%*100</f>
        <v>0.02</v>
      </c>
      <c r="F21" s="105" t="s">
        <v>187</v>
      </c>
    </row>
    <row r="22" spans="2:6" s="71" customFormat="1" ht="16.5" customHeight="1" x14ac:dyDescent="0.15">
      <c r="B22" s="2" t="s">
        <v>4</v>
      </c>
      <c r="C22" s="170" t="s">
        <v>175</v>
      </c>
      <c r="D22" s="171"/>
      <c r="E22" s="104">
        <f>PERC_EMPREG_DEMIT_SEM_JUSTA_CAUSA_TOTAL_DESLIG%*PERC_EMPREG_AVISO_PREVIO_IND%*(PERC_MULTA_FGTS%)*PERC_FGTS%*100</f>
        <v>0.11</v>
      </c>
      <c r="F22" s="104" t="s">
        <v>188</v>
      </c>
    </row>
    <row r="23" spans="2:6" s="78" customFormat="1" x14ac:dyDescent="0.3">
      <c r="B23" s="2" t="s">
        <v>5</v>
      </c>
      <c r="C23" s="176" t="s">
        <v>47</v>
      </c>
      <c r="D23" s="176"/>
      <c r="E23" s="106">
        <f>PERC_EMPREG_DEMIT_SEM_JUSTA_CAUSA_TOTAL_DESLIG%*PERC_EMPREG_AVISO_PREVIO_TRAB%*(DIAS_NA_SEMANA/DIAS_NO_MES)/MESES_NO_ANO*100</f>
        <v>1.1599999999999999</v>
      </c>
      <c r="F23" s="105" t="s">
        <v>162</v>
      </c>
    </row>
    <row r="24" spans="2:6" s="78" customFormat="1" x14ac:dyDescent="0.3">
      <c r="B24" s="2" t="s">
        <v>6</v>
      </c>
      <c r="C24" s="170" t="s">
        <v>176</v>
      </c>
      <c r="D24" s="171"/>
      <c r="E24" s="104">
        <f>PERC_GPS_FGTS%*PERC_AVISO_PREVIO_TRAB%*100</f>
        <v>0.46</v>
      </c>
      <c r="F24" s="104" t="s">
        <v>185</v>
      </c>
    </row>
    <row r="25" spans="2:6" s="71" customFormat="1" ht="16.5" customHeight="1" x14ac:dyDescent="0.15">
      <c r="B25" s="2" t="s">
        <v>7</v>
      </c>
      <c r="C25" s="176" t="s">
        <v>171</v>
      </c>
      <c r="D25" s="176"/>
      <c r="E25" s="106">
        <f>PERC_EMPREG_DEMIT_SEM_JUSTA_CAUSA_TOTAL_DESLIG%*PERC_EMPREG_AVISO_PREVIO_TRAB%*(PERC_MULTA_FGTS%)*PERC_FGTS%*100</f>
        <v>1.9</v>
      </c>
      <c r="F25" s="105" t="s">
        <v>186</v>
      </c>
    </row>
    <row r="26" spans="2:6" s="71" customFormat="1" ht="16.149999999999999" customHeight="1" x14ac:dyDescent="0.3">
      <c r="B26" s="44" t="s">
        <v>66</v>
      </c>
      <c r="C26" s="6"/>
      <c r="D26" s="15"/>
      <c r="E26" s="7"/>
    </row>
    <row r="27" spans="2:6" s="71" customFormat="1" ht="16.149999999999999" customHeight="1" x14ac:dyDescent="0.3">
      <c r="B27" s="44" t="s">
        <v>93</v>
      </c>
      <c r="C27" s="6"/>
      <c r="D27" s="15"/>
      <c r="E27" s="13"/>
    </row>
    <row r="28" spans="2:6" s="71" customFormat="1" x14ac:dyDescent="0.15">
      <c r="B28" s="1" t="s">
        <v>20</v>
      </c>
      <c r="C28" s="172" t="s">
        <v>94</v>
      </c>
      <c r="D28" s="172"/>
      <c r="E28" s="3" t="s">
        <v>1</v>
      </c>
      <c r="F28" s="3" t="s">
        <v>155</v>
      </c>
    </row>
    <row r="29" spans="2:6" s="71" customFormat="1" ht="16.149999999999999" customHeight="1" x14ac:dyDescent="0.15">
      <c r="B29" s="2" t="s">
        <v>2</v>
      </c>
      <c r="C29" s="173" t="s">
        <v>95</v>
      </c>
      <c r="D29" s="173"/>
      <c r="E29" s="104">
        <f>(1/MESES_NO_ANO)*100</f>
        <v>8.33</v>
      </c>
      <c r="F29" s="104" t="s">
        <v>159</v>
      </c>
    </row>
    <row r="30" spans="2:6" s="71" customFormat="1" ht="16.149999999999999" customHeight="1" x14ac:dyDescent="0.15">
      <c r="B30" s="2" t="s">
        <v>3</v>
      </c>
      <c r="C30" s="68" t="s">
        <v>96</v>
      </c>
      <c r="D30" s="68"/>
      <c r="E30" s="106">
        <f>(DIAS_AUSENCIAS_LEGAIS/DIAS_NO_MES)/MESES_NO_ANO*100</f>
        <v>2.2200000000000002</v>
      </c>
      <c r="F30" s="105" t="s">
        <v>160</v>
      </c>
    </row>
    <row r="31" spans="2:6" s="71" customFormat="1" ht="16.149999999999999" customHeight="1" x14ac:dyDescent="0.15">
      <c r="B31" s="2" t="s">
        <v>4</v>
      </c>
      <c r="C31" s="173" t="s">
        <v>97</v>
      </c>
      <c r="D31" s="173"/>
      <c r="E31" s="104">
        <f>(((DIAS_LICENCA_PATERNIDADE/DIAS_NO_MES)/MESES_NO_ANO)*PERC_NASCIDOS_VIVOS_POPUL_FEM%*PERC_PARTIC_MASC_VIGIL%)*100</f>
        <v>0.02</v>
      </c>
      <c r="F31" s="104" t="s">
        <v>197</v>
      </c>
    </row>
    <row r="32" spans="2:6" s="71" customFormat="1" x14ac:dyDescent="0.15">
      <c r="B32" s="2" t="s">
        <v>5</v>
      </c>
      <c r="C32" s="174" t="s">
        <v>98</v>
      </c>
      <c r="D32" s="174"/>
      <c r="E32" s="106">
        <f>(DIAS_PAGOS_EMPRESA_ACID_TRAB/DIAS_NO_MES)/MESES_NO_ANO*PERC_EMPREG_AFAST_TRAB%*100</f>
        <v>0.02</v>
      </c>
      <c r="F32" s="105" t="s">
        <v>161</v>
      </c>
    </row>
    <row r="33" spans="2:6" s="71" customFormat="1" x14ac:dyDescent="0.15">
      <c r="B33" s="2" t="s">
        <v>6</v>
      </c>
      <c r="C33" s="173" t="s">
        <v>99</v>
      </c>
      <c r="D33" s="173"/>
      <c r="E33" s="104">
        <f>(((DIAS_LICENCA_MATERNIDADE/DIAS_NO_MES)/MESES_NO_ANO)*PERC_NASCIDOS_VIVOS_POPUL_FEM%*PERC_PARTIC_FEM_VIGIL%*PERC_GPS_FGTS%*100)</f>
        <v>0.03</v>
      </c>
      <c r="F33" s="104" t="s">
        <v>198</v>
      </c>
    </row>
    <row r="34" spans="2:6" s="71" customFormat="1" x14ac:dyDescent="0.15">
      <c r="B34" s="2" t="s">
        <v>7</v>
      </c>
      <c r="C34" s="174" t="str">
        <f>OUTRAS_AUSENCIAS_DESCRICAO</f>
        <v>Outras Ausências (Especificar em %)</v>
      </c>
      <c r="D34" s="174"/>
      <c r="E34" s="106">
        <f>PERC_SUBSTITUTO_OUTRAS_AUSENCIAS</f>
        <v>0</v>
      </c>
      <c r="F34" s="105"/>
    </row>
    <row r="36" spans="2:6" ht="20.25" x14ac:dyDescent="0.3">
      <c r="B36" s="27" t="s">
        <v>145</v>
      </c>
    </row>
    <row r="37" spans="2:6" ht="47.25" customHeight="1" x14ac:dyDescent="0.3">
      <c r="B37" s="141" t="s">
        <v>184</v>
      </c>
      <c r="C37" s="141"/>
      <c r="D37" s="141"/>
      <c r="E37" s="141"/>
      <c r="F37" s="141"/>
    </row>
    <row r="38" spans="2:6" x14ac:dyDescent="0.3">
      <c r="B38" s="7" t="s">
        <v>173</v>
      </c>
    </row>
  </sheetData>
  <sheetProtection sheet="1" objects="1" scenarios="1"/>
  <mergeCells count="28">
    <mergeCell ref="C32:D32"/>
    <mergeCell ref="C33:D33"/>
    <mergeCell ref="C20:D20"/>
    <mergeCell ref="C21:D21"/>
    <mergeCell ref="C16:D16"/>
    <mergeCell ref="B17:D17"/>
    <mergeCell ref="C31:D31"/>
    <mergeCell ref="C12:D12"/>
    <mergeCell ref="C13:D13"/>
    <mergeCell ref="C14:D14"/>
    <mergeCell ref="C15:D15"/>
    <mergeCell ref="C19:D19"/>
    <mergeCell ref="B37:F37"/>
    <mergeCell ref="C22:D22"/>
    <mergeCell ref="C28:D28"/>
    <mergeCell ref="C29:D29"/>
    <mergeCell ref="C4:D4"/>
    <mergeCell ref="C5:D5"/>
    <mergeCell ref="C6:D6"/>
    <mergeCell ref="C10:D10"/>
    <mergeCell ref="C11:D11"/>
    <mergeCell ref="B7:F7"/>
    <mergeCell ref="C23:D23"/>
    <mergeCell ref="C24:D24"/>
    <mergeCell ref="C25:D25"/>
    <mergeCell ref="C34:D34"/>
    <mergeCell ref="C8:D8"/>
    <mergeCell ref="C9:D9"/>
  </mergeCells>
  <dataValidations count="3">
    <dataValidation type="decimal" allowBlank="1" showInputMessage="1" showErrorMessage="1" errorTitle="Erro na inserção de dados." error="O percentual do Aviso Prévio Indenizado deverá ser inferior a 0,64%, conforme determinou o Tribunal de Contas da União por meio do Acórdão nº 1.904/2007 - Plenário." sqref="E20" xr:uid="{00000000-0002-0000-0200-000000000000}">
      <formula1>0</formula1>
      <formula2>0.46</formula2>
    </dataValidation>
    <dataValidation type="decimal" allowBlank="1" showInputMessage="1" showErrorMessage="1" errorTitle="Erro na inserção de dados." error="O percentual do Aviso Prévio Indenizado deverá ser inferior a 1,94%, conforme determinou o Tribunal de Contas da União por meio do Acórdão nº 1.904/2007 - Plenário." sqref="E23:E24" xr:uid="{00000000-0002-0000-0200-000001000000}">
      <formula1>0</formula1>
      <formula2>1.94</formula2>
    </dataValidation>
    <dataValidation allowBlank="1" showInputMessage="1" showErrorMessage="1" errorTitle="Erro na inserção de dados." error="O percentual do Aviso Prévio Indenizado deverá ser inferior a 0,64%, conforme determinou o Tribunal de Contas da União por meio do Acórdão nº 1.904/2007 - Plenário." sqref="E22" xr:uid="{00000000-0002-0000-0200-000002000000}"/>
  </dataValidations>
  <pageMargins left="0.18" right="0.17" top="0.1" bottom="0.03" header="0.14000000000000001" footer="0.04"/>
  <pageSetup paperSize="9" scale="86" orientation="landscape" r:id="rId1"/>
  <ignoredErrors>
    <ignoredError sqref="E11 E5:E6 E34 E20:E33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114"/>
  <sheetViews>
    <sheetView topLeftCell="C76" zoomScaleNormal="100" zoomScaleSheetLayoutView="100" workbookViewId="0">
      <selection activeCell="B1" sqref="B1:F1"/>
    </sheetView>
  </sheetViews>
  <sheetFormatPr defaultColWidth="9.140625" defaultRowHeight="16.5" x14ac:dyDescent="0.3"/>
  <cols>
    <col min="1" max="1" width="2.7109375" style="7" customWidth="1"/>
    <col min="2" max="2" width="8.7109375" style="7" customWidth="1"/>
    <col min="3" max="3" width="52.42578125" style="12" customWidth="1"/>
    <col min="4" max="4" width="15.42578125" style="12" customWidth="1"/>
    <col min="5" max="5" width="13.42578125" style="12" customWidth="1"/>
    <col min="6" max="6" width="20" style="12" customWidth="1"/>
    <col min="7" max="16384" width="9.140625" style="7"/>
  </cols>
  <sheetData>
    <row r="1" spans="2:6" ht="20.25" x14ac:dyDescent="0.35">
      <c r="B1" s="179" t="str">
        <f>RAMO</f>
        <v>RAMO: CONSELHO NACINAL DO MINISTÉRIO PÚBLICO</v>
      </c>
      <c r="C1" s="180"/>
      <c r="D1" s="180"/>
      <c r="E1" s="180"/>
      <c r="F1" s="181"/>
    </row>
    <row r="2" spans="2:6" ht="20.25" x14ac:dyDescent="0.35">
      <c r="B2" s="182" t="str">
        <f>UG</f>
        <v>UNIDADE GESTORA (SIGLA): CNMP</v>
      </c>
      <c r="C2" s="183"/>
      <c r="D2" s="184"/>
      <c r="E2" s="69" t="s">
        <v>51</v>
      </c>
      <c r="F2" s="70">
        <f>DATA_DO_ORCAMENTO_ESTIMATIVO</f>
        <v>45792</v>
      </c>
    </row>
    <row r="3" spans="2:6" s="71" customFormat="1" ht="25.5" x14ac:dyDescent="0.5">
      <c r="B3" s="145" t="s">
        <v>150</v>
      </c>
      <c r="C3" s="145"/>
      <c r="D3" s="145"/>
      <c r="E3" s="145"/>
      <c r="F3" s="145"/>
    </row>
    <row r="4" spans="2:6" s="71" customFormat="1" ht="16.149999999999999" customHeight="1" x14ac:dyDescent="0.3">
      <c r="B4" s="146" t="s">
        <v>88</v>
      </c>
      <c r="C4" s="146"/>
      <c r="D4" s="146"/>
      <c r="E4" s="146"/>
      <c r="F4" s="146"/>
    </row>
    <row r="5" spans="2:6" s="71" customFormat="1" ht="16.149999999999999" customHeight="1" x14ac:dyDescent="0.3">
      <c r="B5" s="147" t="s">
        <v>165</v>
      </c>
      <c r="C5" s="147"/>
      <c r="D5" s="185" t="str">
        <f>NUMERO_PROCESSO</f>
        <v>19.00.1300.0002626/2025-07</v>
      </c>
      <c r="E5" s="185"/>
      <c r="F5" s="185"/>
    </row>
    <row r="6" spans="2:6" s="71" customFormat="1" ht="15.75" customHeight="1" x14ac:dyDescent="0.3">
      <c r="B6" s="151" t="s">
        <v>166</v>
      </c>
      <c r="C6" s="151"/>
      <c r="D6" s="186" t="str">
        <f>MODALIDADE_DE_LICITACAO</f>
        <v>Pregão nº</v>
      </c>
      <c r="E6" s="186"/>
      <c r="F6" s="93" t="str">
        <f>NUMERO_PREGAO</f>
        <v>XX/20XX</v>
      </c>
    </row>
    <row r="7" spans="2:6" s="71" customFormat="1" ht="15.75" customHeight="1" x14ac:dyDescent="0.3">
      <c r="B7" s="187" t="s">
        <v>52</v>
      </c>
      <c r="C7" s="187"/>
      <c r="D7" s="187"/>
      <c r="E7" s="187"/>
      <c r="F7" s="187"/>
    </row>
    <row r="8" spans="2:6" s="71" customFormat="1" ht="18" customHeight="1" x14ac:dyDescent="0.3">
      <c r="B8" s="18" t="s">
        <v>2</v>
      </c>
      <c r="C8" s="147" t="s">
        <v>57</v>
      </c>
      <c r="D8" s="147"/>
      <c r="E8" s="147"/>
      <c r="F8" s="72">
        <f>DATA_APRESENTACAO_PROPOSTA</f>
        <v>0</v>
      </c>
    </row>
    <row r="9" spans="2:6" s="71" customFormat="1" ht="16.149999999999999" customHeight="1" x14ac:dyDescent="0.15">
      <c r="B9" s="1" t="s">
        <v>3</v>
      </c>
      <c r="C9" s="57" t="s">
        <v>33</v>
      </c>
      <c r="D9" s="188" t="str">
        <f>IF(LOCAL_DE_EXECUCAO="","",LOCAL_DE_EXECUCAO)</f>
        <v>Sede do CNMP</v>
      </c>
      <c r="E9" s="188"/>
      <c r="F9" s="188"/>
    </row>
    <row r="10" spans="2:6" s="71" customFormat="1" ht="18.75" customHeight="1" x14ac:dyDescent="0.3">
      <c r="B10" s="18" t="s">
        <v>4</v>
      </c>
      <c r="C10" s="147" t="s">
        <v>34</v>
      </c>
      <c r="D10" s="147"/>
      <c r="E10" s="147"/>
      <c r="F10" s="73" t="str">
        <f>ACORDO_COLETIVO</f>
        <v>91/2025</v>
      </c>
    </row>
    <row r="11" spans="2:6" s="71" customFormat="1" ht="16.149999999999999" customHeight="1" x14ac:dyDescent="0.3">
      <c r="B11" s="1" t="s">
        <v>5</v>
      </c>
      <c r="C11" s="188" t="s">
        <v>58</v>
      </c>
      <c r="D11" s="188"/>
      <c r="E11" s="188"/>
      <c r="F11" s="23">
        <f>NUMERO_MESES_EXEC_CONTRATUAL</f>
        <v>60</v>
      </c>
    </row>
    <row r="12" spans="2:6" s="71" customFormat="1" x14ac:dyDescent="0.3">
      <c r="B12" s="1" t="s">
        <v>6</v>
      </c>
      <c r="C12" s="189" t="s">
        <v>76</v>
      </c>
      <c r="D12" s="189"/>
      <c r="E12" s="189"/>
      <c r="F12" s="55">
        <f>IF(QTDE_POSTOS="","",QTDE_POSTOS)</f>
        <v>1</v>
      </c>
    </row>
    <row r="13" spans="2:6" s="76" customFormat="1" ht="15" customHeight="1" x14ac:dyDescent="0.2">
      <c r="B13" s="74" t="s">
        <v>146</v>
      </c>
      <c r="C13" s="75"/>
      <c r="D13" s="75"/>
      <c r="E13" s="75"/>
      <c r="F13" s="75"/>
    </row>
    <row r="14" spans="2:6" s="71" customFormat="1" x14ac:dyDescent="0.3">
      <c r="B14" s="18">
        <v>1</v>
      </c>
      <c r="C14" s="112" t="s">
        <v>54</v>
      </c>
      <c r="D14" s="112"/>
      <c r="E14" s="190" t="str">
        <f>IF(TIPO_DE_SERVICO="","",TIPO_DE_SERVICO)</f>
        <v>Supervisor Técnico</v>
      </c>
      <c r="F14" s="190"/>
    </row>
    <row r="15" spans="2:6" s="71" customFormat="1" x14ac:dyDescent="0.3">
      <c r="B15" s="18">
        <v>2</v>
      </c>
      <c r="C15" s="20" t="s">
        <v>53</v>
      </c>
      <c r="D15" s="191" t="str">
        <f>IF(CBO="","",CBO)</f>
        <v>3732-30</v>
      </c>
      <c r="E15" s="191"/>
      <c r="F15" s="191"/>
    </row>
    <row r="16" spans="2:6" s="71" customFormat="1" ht="15" customHeight="1" x14ac:dyDescent="0.3">
      <c r="B16" s="18">
        <v>3</v>
      </c>
      <c r="C16" s="89" t="s">
        <v>55</v>
      </c>
      <c r="D16" s="190" t="str">
        <f>IF(CATEGORIA_PROFISSIONAL="","",CATEGORIA_PROFISSIONAL)</f>
        <v>Audiovisual</v>
      </c>
      <c r="E16" s="190"/>
      <c r="F16" s="190"/>
    </row>
    <row r="17" spans="2:6" s="71" customFormat="1" ht="15" customHeight="1" x14ac:dyDescent="0.3">
      <c r="B17" s="18">
        <v>4</v>
      </c>
      <c r="C17" s="111" t="s">
        <v>56</v>
      </c>
      <c r="D17" s="111"/>
      <c r="E17" s="111"/>
      <c r="F17" s="90">
        <f>DATA_BASE_CATEGORIA</f>
        <v>45658</v>
      </c>
    </row>
    <row r="18" spans="2:6" s="77" customFormat="1" ht="20.25" customHeight="1" x14ac:dyDescent="0.3">
      <c r="B18" s="192" t="s">
        <v>37</v>
      </c>
      <c r="C18" s="192"/>
      <c r="D18" s="192"/>
      <c r="E18" s="192"/>
      <c r="F18" s="192"/>
    </row>
    <row r="19" spans="2:6" x14ac:dyDescent="0.3">
      <c r="B19" s="137" t="s">
        <v>49</v>
      </c>
      <c r="C19" s="137"/>
      <c r="D19" s="137"/>
      <c r="E19" s="137"/>
      <c r="F19" s="82">
        <f>IF(EMPREG_POR_POSTO="","",EMPREG_POR_POSTO)</f>
        <v>1</v>
      </c>
    </row>
    <row r="20" spans="2:6" x14ac:dyDescent="0.3">
      <c r="B20" s="44" t="s">
        <v>8</v>
      </c>
      <c r="E20" s="8"/>
      <c r="F20" s="8"/>
    </row>
    <row r="21" spans="2:6" x14ac:dyDescent="0.3">
      <c r="B21" s="1">
        <v>1</v>
      </c>
      <c r="C21" s="116" t="s">
        <v>9</v>
      </c>
      <c r="D21" s="116"/>
      <c r="E21" s="116"/>
      <c r="F21" s="3" t="s">
        <v>13</v>
      </c>
    </row>
    <row r="22" spans="2:6" x14ac:dyDescent="0.3">
      <c r="B22" s="1" t="s">
        <v>2</v>
      </c>
      <c r="C22" s="117" t="s">
        <v>83</v>
      </c>
      <c r="D22" s="117"/>
      <c r="E22" s="117"/>
      <c r="F22" s="47">
        <f>SALARIO_BASE</f>
        <v>11871.28</v>
      </c>
    </row>
    <row r="23" spans="2:6" x14ac:dyDescent="0.3">
      <c r="B23" s="1" t="s">
        <v>3</v>
      </c>
      <c r="C23" s="174" t="s">
        <v>85</v>
      </c>
      <c r="D23" s="174"/>
      <c r="E23" s="174"/>
      <c r="F23" s="4">
        <f>PERC_ADIC_PERIC%*SALARIO_BASE</f>
        <v>0</v>
      </c>
    </row>
    <row r="24" spans="2:6" ht="15.75" customHeight="1" x14ac:dyDescent="0.3">
      <c r="B24" s="1" t="s">
        <v>4</v>
      </c>
      <c r="C24" s="193" t="s">
        <v>74</v>
      </c>
      <c r="D24" s="193"/>
      <c r="E24" s="193"/>
      <c r="F24" s="47">
        <f>((AL_1_A_SAL_BASE_12x36+AL_1_B_ADIC_PERIC_12x36)/DIVISOR_DE_HORAS)*DIAS_NA_SEMANA*MEDIA_ANUAL_DIAS_TRABALHO_MES*PERC_ADIC_NOT%</f>
        <v>0</v>
      </c>
    </row>
    <row r="25" spans="2:6" ht="15.75" customHeight="1" x14ac:dyDescent="0.3">
      <c r="B25" s="1" t="s">
        <v>5</v>
      </c>
      <c r="C25" s="174" t="s">
        <v>78</v>
      </c>
      <c r="D25" s="174"/>
      <c r="E25" s="174"/>
      <c r="F25" s="4">
        <f>((AL_1_A_SAL_BASE_12x36+AL_1_B_ADIC_PERIC_12x36)/DIVISOR_DE_HORAS)*((HORA_NORMAL-HORA_NOTURNA)/HORA_NOTURNA)*DIAS_NA_SEMANA*MEDIA_ANUAL_DIAS_TRABALHO_MES*PERC_ADIC_NOT%</f>
        <v>0</v>
      </c>
    </row>
    <row r="26" spans="2:6" ht="15.75" customHeight="1" x14ac:dyDescent="0.3">
      <c r="B26" s="1" t="s">
        <v>6</v>
      </c>
      <c r="C26" s="121" t="s">
        <v>148</v>
      </c>
      <c r="D26" s="122"/>
      <c r="E26" s="123"/>
      <c r="F26" s="47">
        <f>IF(BC_ADIC_INSALUB="CCT",PERC_ADIC_INS%*SALARIO_BASE,IF(BC_ADIC_INSALUB="Salário Mínimo",PERC_ADIC_INS%*SAL_MINIMO,0))</f>
        <v>0</v>
      </c>
    </row>
    <row r="27" spans="2:6" x14ac:dyDescent="0.3">
      <c r="B27" s="1" t="s">
        <v>7</v>
      </c>
      <c r="C27" s="113" t="str">
        <f>OUTROS_REMUNERACAO_1_DESCRICAO</f>
        <v>Outras Remunerações 1 (Especificar)</v>
      </c>
      <c r="D27" s="114"/>
      <c r="E27" s="115"/>
      <c r="F27" s="4">
        <f>OUTROS_REMUNERACAO_1</f>
        <v>0</v>
      </c>
    </row>
    <row r="28" spans="2:6" x14ac:dyDescent="0.3">
      <c r="B28" s="1" t="s">
        <v>10</v>
      </c>
      <c r="C28" s="194" t="str">
        <f>OUTROS_REMUNERACAO_2_DESCRICAO</f>
        <v>Outras Remunerações 2 (Especificar)</v>
      </c>
      <c r="D28" s="195"/>
      <c r="E28" s="196"/>
      <c r="F28" s="47">
        <f>OUTROS_REMUNERACAO_2</f>
        <v>0</v>
      </c>
    </row>
    <row r="29" spans="2:6" x14ac:dyDescent="0.3">
      <c r="B29" s="1" t="s">
        <v>11</v>
      </c>
      <c r="C29" s="113" t="str">
        <f>OUTROS_REMUNERACAO_3_DESCRICAO</f>
        <v>Outras Remunerações 3 (Especificar)</v>
      </c>
      <c r="D29" s="114"/>
      <c r="E29" s="115"/>
      <c r="F29" s="4">
        <f>OUTROS_REMUNERACAO_3</f>
        <v>0</v>
      </c>
    </row>
    <row r="30" spans="2:6" x14ac:dyDescent="0.3">
      <c r="B30" s="197" t="s">
        <v>43</v>
      </c>
      <c r="C30" s="197"/>
      <c r="D30" s="197"/>
      <c r="E30" s="197"/>
      <c r="F30" s="34">
        <f>SUM(F22:F29)</f>
        <v>11871.28</v>
      </c>
    </row>
    <row r="31" spans="2:6" x14ac:dyDescent="0.3">
      <c r="B31" s="44" t="s">
        <v>59</v>
      </c>
      <c r="E31" s="14"/>
      <c r="F31" s="14"/>
    </row>
    <row r="32" spans="2:6" x14ac:dyDescent="0.3">
      <c r="B32" s="44" t="s">
        <v>101</v>
      </c>
      <c r="C32" s="6"/>
      <c r="D32" s="15"/>
      <c r="E32" s="13"/>
      <c r="F32" s="13"/>
    </row>
    <row r="33" spans="2:6" x14ac:dyDescent="0.3">
      <c r="B33" s="1" t="s">
        <v>60</v>
      </c>
      <c r="C33" s="137" t="s">
        <v>84</v>
      </c>
      <c r="D33" s="137"/>
      <c r="E33" s="3" t="s">
        <v>1</v>
      </c>
      <c r="F33" s="3" t="s">
        <v>13</v>
      </c>
    </row>
    <row r="34" spans="2:6" x14ac:dyDescent="0.3">
      <c r="B34" s="1" t="s">
        <v>2</v>
      </c>
      <c r="C34" s="173" t="s">
        <v>44</v>
      </c>
      <c r="D34" s="173"/>
      <c r="E34" s="49">
        <f>PERC_DEC_TERC</f>
        <v>8.33</v>
      </c>
      <c r="F34" s="48">
        <f>PERC_DEC_TERC%*MOD_1_REMUNERACAO_12X36</f>
        <v>988.88</v>
      </c>
    </row>
    <row r="35" spans="2:6" x14ac:dyDescent="0.3">
      <c r="B35" s="2" t="s">
        <v>3</v>
      </c>
      <c r="C35" s="174" t="s">
        <v>86</v>
      </c>
      <c r="D35" s="174"/>
      <c r="E35" s="32">
        <f>PERC_ADIC_FERIAS</f>
        <v>2.78</v>
      </c>
      <c r="F35" s="30">
        <f>PERC_ADIC_FERIAS%*MOD_1_REMUNERACAO_12X36</f>
        <v>330.02</v>
      </c>
    </row>
    <row r="36" spans="2:6" s="78" customFormat="1" x14ac:dyDescent="0.3">
      <c r="B36" s="128" t="s">
        <v>43</v>
      </c>
      <c r="C36" s="129"/>
      <c r="D36" s="129"/>
      <c r="E36" s="130"/>
      <c r="F36" s="35">
        <f>SUM(F34:F35)</f>
        <v>1318.9</v>
      </c>
    </row>
    <row r="37" spans="2:6" s="78" customFormat="1" ht="31.5" customHeight="1" x14ac:dyDescent="0.3">
      <c r="B37" s="198" t="s">
        <v>61</v>
      </c>
      <c r="C37" s="198"/>
      <c r="D37" s="198"/>
      <c r="E37" s="198"/>
      <c r="F37" s="198"/>
    </row>
    <row r="38" spans="2:6" s="78" customFormat="1" ht="34.5" customHeight="1" x14ac:dyDescent="0.3">
      <c r="B38" s="1" t="s">
        <v>62</v>
      </c>
      <c r="C38" s="177" t="s">
        <v>87</v>
      </c>
      <c r="D38" s="177"/>
      <c r="E38" s="3" t="s">
        <v>1</v>
      </c>
      <c r="F38" s="3" t="s">
        <v>13</v>
      </c>
    </row>
    <row r="39" spans="2:6" x14ac:dyDescent="0.3">
      <c r="B39" s="1" t="s">
        <v>2</v>
      </c>
      <c r="C39" s="173" t="s">
        <v>38</v>
      </c>
      <c r="D39" s="173"/>
      <c r="E39" s="49">
        <f>PERC_INSS</f>
        <v>20</v>
      </c>
      <c r="F39" s="48">
        <f>PERC_INSS%*(MOD_1_REMUNERACAO_12X36+SUBMOD_2_1_DEC_TERC_ADIC_FERIAS_12x36+SUBMOD_2_4_INTERVALO_INTRAJORNADA_12X36)</f>
        <v>2638.04</v>
      </c>
    </row>
    <row r="40" spans="2:6" s="71" customFormat="1" x14ac:dyDescent="0.15">
      <c r="B40" s="2" t="s">
        <v>3</v>
      </c>
      <c r="C40" s="174" t="s">
        <v>40</v>
      </c>
      <c r="D40" s="174"/>
      <c r="E40" s="39">
        <f>PERC_SAL_EDUCACAO</f>
        <v>2.5</v>
      </c>
      <c r="F40" s="30">
        <f>PERC_SAL_EDUCACAO%*(MOD_1_REMUNERACAO_12X36+SUBMOD_2_1_DEC_TERC_ADIC_FERIAS_12x36)</f>
        <v>329.75</v>
      </c>
    </row>
    <row r="41" spans="2:6" s="71" customFormat="1" x14ac:dyDescent="0.15">
      <c r="B41" s="2" t="s">
        <v>4</v>
      </c>
      <c r="C41" s="173" t="s">
        <v>172</v>
      </c>
      <c r="D41" s="173"/>
      <c r="E41" s="49">
        <f>PERC_RAT</f>
        <v>6</v>
      </c>
      <c r="F41" s="48">
        <f>PERC_RAT%*(MOD_1_REMUNERACAO_12X36+SUBMOD_2_1_DEC_TERC_ADIC_FERIAS_12x36)</f>
        <v>791.41</v>
      </c>
    </row>
    <row r="42" spans="2:6" s="71" customFormat="1" x14ac:dyDescent="0.15">
      <c r="B42" s="2" t="s">
        <v>5</v>
      </c>
      <c r="C42" s="174" t="s">
        <v>79</v>
      </c>
      <c r="D42" s="174"/>
      <c r="E42" s="32">
        <f>PERC_SESC</f>
        <v>1.5</v>
      </c>
      <c r="F42" s="30">
        <f>PERC_SESC%*(MOD_1_REMUNERACAO_12X36+SUBMOD_2_1_DEC_TERC_ADIC_FERIAS_12x36)</f>
        <v>197.85</v>
      </c>
    </row>
    <row r="43" spans="2:6" s="71" customFormat="1" x14ac:dyDescent="0.15">
      <c r="B43" s="2" t="s">
        <v>6</v>
      </c>
      <c r="C43" s="173" t="s">
        <v>80</v>
      </c>
      <c r="D43" s="173"/>
      <c r="E43" s="49">
        <f>PERC_SENAC</f>
        <v>1</v>
      </c>
      <c r="F43" s="48">
        <f>PERC_SENAC%*(MOD_1_REMUNERACAO_12X36+SUBMOD_2_1_DEC_TERC_ADIC_FERIAS_12x36)</f>
        <v>131.9</v>
      </c>
    </row>
    <row r="44" spans="2:6" s="71" customFormat="1" x14ac:dyDescent="0.15">
      <c r="B44" s="2" t="s">
        <v>7</v>
      </c>
      <c r="C44" s="174" t="s">
        <v>42</v>
      </c>
      <c r="D44" s="174"/>
      <c r="E44" s="39">
        <f>PERC_SEBRAE</f>
        <v>0.6</v>
      </c>
      <c r="F44" s="30">
        <f>PERC_SEBRAE%*(MOD_1_REMUNERACAO_12X36+SUBMOD_2_1_DEC_TERC_ADIC_FERIAS_12x36)</f>
        <v>79.14</v>
      </c>
    </row>
    <row r="45" spans="2:6" s="71" customFormat="1" x14ac:dyDescent="0.15">
      <c r="B45" s="2" t="s">
        <v>10</v>
      </c>
      <c r="C45" s="173" t="s">
        <v>39</v>
      </c>
      <c r="D45" s="173"/>
      <c r="E45" s="49">
        <f>PERC_INCRA</f>
        <v>0.2</v>
      </c>
      <c r="F45" s="48">
        <f>PERC_INCRA%*(MOD_1_REMUNERACAO_12X36+SUBMOD_2_1_DEC_TERC_ADIC_FERIAS_12x36)</f>
        <v>26.38</v>
      </c>
    </row>
    <row r="46" spans="2:6" x14ac:dyDescent="0.3">
      <c r="B46" s="2" t="s">
        <v>11</v>
      </c>
      <c r="C46" s="174" t="s">
        <v>41</v>
      </c>
      <c r="D46" s="174"/>
      <c r="E46" s="39">
        <f>PERC_FGTS</f>
        <v>8</v>
      </c>
      <c r="F46" s="30">
        <f>PERC_FGTS%*(MOD_1_REMUNERACAO_12X36+SUBMOD_2_1_DEC_TERC_ADIC_FERIAS_12x36)</f>
        <v>1055.21</v>
      </c>
    </row>
    <row r="47" spans="2:6" x14ac:dyDescent="0.3">
      <c r="B47" s="128" t="s">
        <v>43</v>
      </c>
      <c r="C47" s="129"/>
      <c r="D47" s="129"/>
      <c r="E47" s="130"/>
      <c r="F47" s="36">
        <f>SUM(F39:F46)</f>
        <v>5249.68</v>
      </c>
    </row>
    <row r="48" spans="2:6" ht="15.75" customHeight="1" x14ac:dyDescent="0.3">
      <c r="B48" s="44" t="s">
        <v>64</v>
      </c>
      <c r="C48" s="71"/>
      <c r="D48" s="71"/>
      <c r="E48" s="71"/>
      <c r="F48" s="71"/>
    </row>
    <row r="49" spans="2:6" ht="15.75" customHeight="1" x14ac:dyDescent="0.3">
      <c r="B49" s="1" t="s">
        <v>81</v>
      </c>
      <c r="C49" s="116" t="s">
        <v>14</v>
      </c>
      <c r="D49" s="116"/>
      <c r="E49" s="116"/>
      <c r="F49" s="3" t="s">
        <v>13</v>
      </c>
    </row>
    <row r="50" spans="2:6" x14ac:dyDescent="0.3">
      <c r="B50" s="18" t="s">
        <v>2</v>
      </c>
      <c r="C50" s="173" t="s">
        <v>15</v>
      </c>
      <c r="D50" s="173"/>
      <c r="E50" s="173"/>
      <c r="F50" s="48">
        <f>IF(((TRANSPORTE_POR_DIA*DIAS_TRABALHADOS_NO_MES_12X36)-(PERC_DESC_TRANSP_REMUNERACAO%*(AL_1_A_SAL_BASE_12x36/2)))&gt;0,((TRANSPORTE_POR_DIA*DIAS_TRABALHADOS_NO_MES_12X36)-(PERC_DESC_TRANSP_REMUNERACAO%*(AL_1_A_SAL_BASE_12x36/2))),0)</f>
        <v>0</v>
      </c>
    </row>
    <row r="51" spans="2:6" s="78" customFormat="1" x14ac:dyDescent="0.3">
      <c r="B51" s="18" t="s">
        <v>3</v>
      </c>
      <c r="C51" s="174" t="s">
        <v>63</v>
      </c>
      <c r="D51" s="174"/>
      <c r="E51" s="174"/>
      <c r="F51" s="30">
        <f>IF(AND(ADESAO_AO_PAT="Sim",PERC_PAT&lt;&gt;""),ALIMENTACAO_POR_DIA*DIAS_TRABALHADOS_NO_MES_12X36*(100-PERC_PAT)%,IF(AND(ADESAO_AO_PAT="Sim",PERC_PAT=""),"Insira o % do PAT",ALIMENTACAO_POR_DIA*DIAS_TRABALHADOS_NO_MES_12X36))</f>
        <v>684</v>
      </c>
    </row>
    <row r="52" spans="2:6" s="78" customFormat="1" x14ac:dyDescent="0.3">
      <c r="B52" s="18" t="s">
        <v>4</v>
      </c>
      <c r="C52" s="194" t="str">
        <f>OUTROS_BENEFICIOS_1_DESCRICAO</f>
        <v>Outros Benefícios 1 (Especificar)</v>
      </c>
      <c r="D52" s="195"/>
      <c r="E52" s="196"/>
      <c r="F52" s="48">
        <f>OUTROS_BENEFICIOS_1</f>
        <v>0</v>
      </c>
    </row>
    <row r="53" spans="2:6" s="78" customFormat="1" x14ac:dyDescent="0.3">
      <c r="B53" s="18" t="s">
        <v>5</v>
      </c>
      <c r="C53" s="113" t="str">
        <f>OUTROS_BENEFICIOS_2_DESCRICAO</f>
        <v>Outros Benefícios 2 (Especificar)</v>
      </c>
      <c r="D53" s="114"/>
      <c r="E53" s="115"/>
      <c r="F53" s="30">
        <f>OUTROS_BENEFICIOS_2</f>
        <v>0</v>
      </c>
    </row>
    <row r="54" spans="2:6" s="78" customFormat="1" x14ac:dyDescent="0.3">
      <c r="B54" s="18" t="s">
        <v>6</v>
      </c>
      <c r="C54" s="194" t="str">
        <f>OUTROS_BENEFICIOS_3_DESCRICAO</f>
        <v>Outros Benefícios 3 (Especificar)</v>
      </c>
      <c r="D54" s="195"/>
      <c r="E54" s="196"/>
      <c r="F54" s="48">
        <f>OUTROS_BENEFICIOS_3</f>
        <v>0</v>
      </c>
    </row>
    <row r="55" spans="2:6" s="78" customFormat="1" ht="15" customHeight="1" x14ac:dyDescent="0.3">
      <c r="B55" s="197" t="s">
        <v>43</v>
      </c>
      <c r="C55" s="197"/>
      <c r="D55" s="197"/>
      <c r="E55" s="197"/>
      <c r="F55" s="34">
        <f>SUM(F50:F54)</f>
        <v>684</v>
      </c>
    </row>
    <row r="56" spans="2:6" ht="15.75" customHeight="1" x14ac:dyDescent="0.3">
      <c r="B56" s="44" t="s">
        <v>177</v>
      </c>
      <c r="C56" s="71"/>
      <c r="D56" s="71"/>
      <c r="E56" s="71"/>
      <c r="F56" s="71"/>
    </row>
    <row r="57" spans="2:6" ht="15.75" customHeight="1" x14ac:dyDescent="0.3">
      <c r="B57" s="1" t="s">
        <v>178</v>
      </c>
      <c r="C57" s="128" t="s">
        <v>179</v>
      </c>
      <c r="D57" s="129"/>
      <c r="E57" s="130"/>
      <c r="F57" s="3" t="s">
        <v>13</v>
      </c>
    </row>
    <row r="58" spans="2:6" x14ac:dyDescent="0.3">
      <c r="B58" s="18" t="s">
        <v>2</v>
      </c>
      <c r="C58" s="194" t="s">
        <v>179</v>
      </c>
      <c r="D58" s="195"/>
      <c r="E58" s="196"/>
      <c r="F58" s="48">
        <f>(MOD_1_REMUNERACAO_12X36*(TEMPO_INTERVALO_REFEICAO_INTERV_INTRA/60)*(1+PERC_HORA_EXTRA%)*DIAS_TRABALHADOS_NO_MES_12X36)/DIVISOR_DE_HORAS</f>
        <v>0</v>
      </c>
    </row>
    <row r="59" spans="2:6" s="71" customFormat="1" x14ac:dyDescent="0.3">
      <c r="B59" s="137" t="s">
        <v>43</v>
      </c>
      <c r="C59" s="137"/>
      <c r="D59" s="137"/>
      <c r="E59" s="137"/>
      <c r="F59" s="35">
        <f>SUM(F58)</f>
        <v>0</v>
      </c>
    </row>
    <row r="60" spans="2:6" s="78" customFormat="1" x14ac:dyDescent="0.3">
      <c r="B60" s="44" t="s">
        <v>65</v>
      </c>
      <c r="C60" s="6"/>
      <c r="D60" s="15"/>
      <c r="E60" s="13"/>
      <c r="F60" s="13"/>
    </row>
    <row r="61" spans="2:6" s="78" customFormat="1" ht="15" customHeight="1" x14ac:dyDescent="0.3">
      <c r="B61" s="1">
        <v>3</v>
      </c>
      <c r="C61" s="137" t="s">
        <v>45</v>
      </c>
      <c r="D61" s="137"/>
      <c r="E61" s="3" t="s">
        <v>1</v>
      </c>
      <c r="F61" s="3" t="s">
        <v>13</v>
      </c>
    </row>
    <row r="62" spans="2:6" s="78" customFormat="1" x14ac:dyDescent="0.3">
      <c r="B62" s="1" t="s">
        <v>2</v>
      </c>
      <c r="C62" s="178" t="s">
        <v>46</v>
      </c>
      <c r="D62" s="178"/>
      <c r="E62" s="49">
        <f>PERC_AVISO_PREVIO_IND</f>
        <v>0.28999999999999998</v>
      </c>
      <c r="F62" s="48">
        <f>PERC_AVISO_PREVIO_IND%*(MOD_1_REMUNERACAO_12X36+SUBMOD_2_1_DEC_TERC_ADIC_FERIAS_12x36)</f>
        <v>38.25</v>
      </c>
    </row>
    <row r="63" spans="2:6" s="78" customFormat="1" x14ac:dyDescent="0.3">
      <c r="B63" s="2" t="s">
        <v>3</v>
      </c>
      <c r="C63" s="176" t="s">
        <v>174</v>
      </c>
      <c r="D63" s="176"/>
      <c r="E63" s="39">
        <f>INCID_FGTS_SOBRE_API</f>
        <v>0.02</v>
      </c>
      <c r="F63" s="30">
        <f>INCID_FGTS_SOBRE_API%*(MOD_1_REMUNERACAO_12X36+SUBMOD_2_1_DEC_TERC_ADIC_FERIAS_12x36)</f>
        <v>2.64</v>
      </c>
    </row>
    <row r="64" spans="2:6" s="71" customFormat="1" x14ac:dyDescent="0.15">
      <c r="B64" s="2" t="s">
        <v>4</v>
      </c>
      <c r="C64" s="170" t="s">
        <v>175</v>
      </c>
      <c r="D64" s="171"/>
      <c r="E64" s="49">
        <f>PERC_MULTA_FGTS_AV_PREV_IND</f>
        <v>0.11</v>
      </c>
      <c r="F64" s="48">
        <f>PERC_MULTA_FGTS_AV_PREV_IND%*(MOD_1_REMUNERACAO_12X36+SUBMOD_2_1_DEC_TERC_ADIC_FERIAS_12x36)</f>
        <v>14.51</v>
      </c>
    </row>
    <row r="65" spans="2:6" s="71" customFormat="1" x14ac:dyDescent="0.15">
      <c r="B65" s="2" t="s">
        <v>5</v>
      </c>
      <c r="C65" s="176" t="s">
        <v>47</v>
      </c>
      <c r="D65" s="176"/>
      <c r="E65" s="39">
        <f>PERC_AVISO_PREVIO_TRAB</f>
        <v>1.1599999999999999</v>
      </c>
      <c r="F65" s="30">
        <f>PERC_AVISO_PREVIO_TRAB%*(MOD_1_REMUNERACAO_12X36+SUBMOD_2_1_DEC_TERC_ADIC_FERIAS_12x36)</f>
        <v>153.01</v>
      </c>
    </row>
    <row r="66" spans="2:6" s="71" customFormat="1" x14ac:dyDescent="0.15">
      <c r="B66" s="2" t="s">
        <v>6</v>
      </c>
      <c r="C66" s="170" t="s">
        <v>176</v>
      </c>
      <c r="D66" s="171"/>
      <c r="E66" s="49">
        <f>INCID_SUBMOD_2_2_APT</f>
        <v>0.46</v>
      </c>
      <c r="F66" s="48">
        <f>E66%*(MOD_1_REMUNERACAO_12X36+SUBMOD_2_1_DEC_TERC_ADIC_FERIAS_12x36)</f>
        <v>60.67</v>
      </c>
    </row>
    <row r="67" spans="2:6" s="71" customFormat="1" x14ac:dyDescent="0.15">
      <c r="B67" s="2" t="s">
        <v>7</v>
      </c>
      <c r="C67" s="176" t="s">
        <v>171</v>
      </c>
      <c r="D67" s="176"/>
      <c r="E67" s="39">
        <f>PERC_MULTA_FGTS_AV_PREV_TRAB</f>
        <v>1.9</v>
      </c>
      <c r="F67" s="30">
        <f>PERC_MULTA_FGTS_AV_PREV_TRAB%*(MOD_1_REMUNERACAO_12X36+SUBMOD_2_1_DEC_TERC_ADIC_FERIAS_12x36)</f>
        <v>250.61</v>
      </c>
    </row>
    <row r="68" spans="2:6" s="71" customFormat="1" x14ac:dyDescent="0.3">
      <c r="B68" s="128" t="s">
        <v>43</v>
      </c>
      <c r="C68" s="129"/>
      <c r="D68" s="129"/>
      <c r="E68" s="130"/>
      <c r="F68" s="35">
        <f>SUM(F62:F67)</f>
        <v>519.69000000000005</v>
      </c>
    </row>
    <row r="69" spans="2:6" ht="7.5" customHeight="1" x14ac:dyDescent="0.3">
      <c r="B69" s="10"/>
      <c r="C69" s="7"/>
      <c r="D69" s="11"/>
      <c r="E69" s="8"/>
      <c r="F69" s="8"/>
    </row>
    <row r="70" spans="2:6" s="71" customFormat="1" ht="16.149999999999999" customHeight="1" x14ac:dyDescent="0.3">
      <c r="B70" s="44" t="s">
        <v>66</v>
      </c>
      <c r="C70" s="6"/>
      <c r="D70" s="15"/>
      <c r="E70" s="7"/>
      <c r="F70" s="7"/>
    </row>
    <row r="71" spans="2:6" s="71" customFormat="1" ht="16.149999999999999" customHeight="1" x14ac:dyDescent="0.3">
      <c r="B71" s="44" t="s">
        <v>93</v>
      </c>
      <c r="C71" s="6"/>
      <c r="D71" s="15"/>
      <c r="E71" s="13"/>
      <c r="F71" s="13"/>
    </row>
    <row r="72" spans="2:6" s="71" customFormat="1" x14ac:dyDescent="0.15">
      <c r="B72" s="1" t="s">
        <v>20</v>
      </c>
      <c r="C72" s="172" t="s">
        <v>94</v>
      </c>
      <c r="D72" s="172"/>
      <c r="E72" s="3" t="s">
        <v>1</v>
      </c>
      <c r="F72" s="3" t="s">
        <v>13</v>
      </c>
    </row>
    <row r="73" spans="2:6" s="71" customFormat="1" ht="16.149999999999999" customHeight="1" x14ac:dyDescent="0.15">
      <c r="B73" s="2" t="s">
        <v>2</v>
      </c>
      <c r="C73" s="173" t="s">
        <v>95</v>
      </c>
      <c r="D73" s="173"/>
      <c r="E73" s="49">
        <f>PERC_SUBSTITUTO_FERIAS</f>
        <v>8.33</v>
      </c>
      <c r="F73" s="48" cm="1">
        <f t="array" ref="F73">PERC_SUBSTITUTO_FERIAS%*(MOD_1_REMUNERACAO_12X36+MOD_2_ENCARGOS_BENEFICIOS_12x36)</f>
        <v>1593.02</v>
      </c>
    </row>
    <row r="74" spans="2:6" s="71" customFormat="1" ht="16.149999999999999" customHeight="1" x14ac:dyDescent="0.15">
      <c r="B74" s="2" t="s">
        <v>3</v>
      </c>
      <c r="C74" s="174" t="s">
        <v>96</v>
      </c>
      <c r="D74" s="174"/>
      <c r="E74" s="39">
        <f>PERC_SUBSTITUTO_AUSENCIAS_LEGAIS</f>
        <v>2.2200000000000002</v>
      </c>
      <c r="F74" s="30" cm="1">
        <f t="array" ref="F74">PERC_SUBSTITUTO_AUSENCIAS_LEGAIS%*(MOD_1_REMUNERACAO_12X36+MOD_2_ENCARGOS_BENEFICIOS_12x36)</f>
        <v>424.55</v>
      </c>
    </row>
    <row r="75" spans="2:6" s="71" customFormat="1" ht="16.149999999999999" customHeight="1" x14ac:dyDescent="0.15">
      <c r="B75" s="2" t="s">
        <v>4</v>
      </c>
      <c r="C75" s="173" t="s">
        <v>97</v>
      </c>
      <c r="D75" s="173"/>
      <c r="E75" s="49">
        <f>PERC_SUBSTITUTO_LICENCA_PATERNIDADE</f>
        <v>0.02</v>
      </c>
      <c r="F75" s="48" cm="1">
        <f t="array" ref="F75">PERC_SUBSTITUTO_LICENCA_PATERNIDADE%*(MOD_1_REMUNERACAO_12X36+MOD_2_ENCARGOS_BENEFICIOS_12x36)</f>
        <v>3.82</v>
      </c>
    </row>
    <row r="76" spans="2:6" s="71" customFormat="1" x14ac:dyDescent="0.15">
      <c r="B76" s="2" t="s">
        <v>5</v>
      </c>
      <c r="C76" s="174" t="s">
        <v>98</v>
      </c>
      <c r="D76" s="174"/>
      <c r="E76" s="39">
        <f>PERC_SUBSTITUTO_ACID_TRAB</f>
        <v>0.02</v>
      </c>
      <c r="F76" s="30" cm="1">
        <f t="array" ref="F76">PERC_SUBSTITUTO_ACID_TRAB%*(MOD_1_REMUNERACAO_12X36+MOD_2_ENCARGOS_BENEFICIOS_12x36)</f>
        <v>3.82</v>
      </c>
    </row>
    <row r="77" spans="2:6" s="71" customFormat="1" x14ac:dyDescent="0.15">
      <c r="B77" s="2" t="s">
        <v>6</v>
      </c>
      <c r="C77" s="173" t="s">
        <v>99</v>
      </c>
      <c r="D77" s="173"/>
      <c r="E77" s="49">
        <f>PERC_SUBSTITUTO_AFAST_MATERN</f>
        <v>0.03</v>
      </c>
      <c r="F77" s="48" cm="1">
        <f t="array" ref="F77">PERC_SUBSTITUTO_AFAST_MATERN%*(MOD_1_REMUNERACAO_12X36+MOD_2_ENCARGOS_BENEFICIOS_12x36)</f>
        <v>5.74</v>
      </c>
    </row>
    <row r="78" spans="2:6" s="71" customFormat="1" x14ac:dyDescent="0.15">
      <c r="B78" s="2" t="s">
        <v>7</v>
      </c>
      <c r="C78" s="200" t="str">
        <f>OUTRAS_AUSENCIAS_DESCRICAO</f>
        <v>Outras Ausências (Especificar em %)</v>
      </c>
      <c r="D78" s="174"/>
      <c r="E78" s="46">
        <f>PERC_SUBSTITUTO_OUTRAS_AUSENCIAS</f>
        <v>0</v>
      </c>
      <c r="F78" s="30" cm="1">
        <f t="array" ref="F78">PERC_SUBSTITUTO_OUTRAS_AUSENCIAS%*(MOD_1_REMUNERACAO_12X36+MOD_2_ENCARGOS_BENEFICIOS_12x36)</f>
        <v>0</v>
      </c>
    </row>
    <row r="79" spans="2:6" s="71" customFormat="1" x14ac:dyDescent="0.3">
      <c r="B79" s="128" t="s">
        <v>43</v>
      </c>
      <c r="C79" s="129"/>
      <c r="D79" s="129"/>
      <c r="E79" s="130"/>
      <c r="F79" s="35">
        <f>SUM(F73:F78)</f>
        <v>2030.95</v>
      </c>
    </row>
    <row r="80" spans="2:6" s="71" customFormat="1" ht="15" customHeight="1" x14ac:dyDescent="0.3">
      <c r="B80" s="44" t="s">
        <v>168</v>
      </c>
      <c r="C80" s="6"/>
      <c r="D80" s="15"/>
      <c r="E80" s="13"/>
      <c r="F80" s="13"/>
    </row>
    <row r="81" spans="2:6" s="71" customFormat="1" x14ac:dyDescent="0.15">
      <c r="B81" s="1" t="s">
        <v>21</v>
      </c>
      <c r="C81" s="137" t="s">
        <v>167</v>
      </c>
      <c r="D81" s="137"/>
      <c r="E81" s="137"/>
      <c r="F81" s="3" t="s">
        <v>13</v>
      </c>
    </row>
    <row r="82" spans="2:6" s="71" customFormat="1" x14ac:dyDescent="0.15">
      <c r="B82" s="1" t="s">
        <v>2</v>
      </c>
      <c r="C82" s="173" t="s">
        <v>100</v>
      </c>
      <c r="D82" s="173"/>
      <c r="E82" s="173"/>
      <c r="F82" s="47">
        <f>((MOD_1_REMUNERACAO_12X36+MOD_2_ENCARGOS_BENEFICIOS_12x36-SUBMOD_2_4_INTERVALO_INTRAJORNADA_12X36+MOD_3_PROVISAO_RESCISAO_12x36)/DIVISOR_DE_HORAS)*((TEMPO_INTERVALO_REFEICAO_SUBST_INTRA/HORA_NORMAL))*DIAS_TRABALHADOS_NO_MES_12X36</f>
        <v>0</v>
      </c>
    </row>
    <row r="83" spans="2:6" s="71" customFormat="1" x14ac:dyDescent="0.3">
      <c r="B83" s="137" t="s">
        <v>43</v>
      </c>
      <c r="C83" s="137"/>
      <c r="D83" s="137"/>
      <c r="E83" s="137"/>
      <c r="F83" s="35">
        <f>SUM(F82)</f>
        <v>0</v>
      </c>
    </row>
    <row r="84" spans="2:6" ht="7.5" customHeight="1" x14ac:dyDescent="0.3">
      <c r="B84" s="10"/>
      <c r="C84" s="7"/>
      <c r="D84" s="11"/>
      <c r="E84" s="8"/>
      <c r="F84" s="8"/>
    </row>
    <row r="85" spans="2:6" x14ac:dyDescent="0.3">
      <c r="B85" s="44" t="s">
        <v>68</v>
      </c>
      <c r="C85" s="6"/>
      <c r="D85" s="6"/>
      <c r="E85" s="13"/>
      <c r="F85" s="13"/>
    </row>
    <row r="86" spans="2:6" ht="15.75" customHeight="1" x14ac:dyDescent="0.3">
      <c r="B86" s="42">
        <v>5</v>
      </c>
      <c r="C86" s="131" t="s">
        <v>0</v>
      </c>
      <c r="D86" s="131"/>
      <c r="E86" s="131"/>
      <c r="F86" s="43" t="s">
        <v>13</v>
      </c>
    </row>
    <row r="87" spans="2:6" x14ac:dyDescent="0.3">
      <c r="B87" s="38" t="s">
        <v>2</v>
      </c>
      <c r="C87" s="132" t="s">
        <v>16</v>
      </c>
      <c r="D87" s="132"/>
      <c r="E87" s="132"/>
      <c r="F87" s="50">
        <f>UNIFORMES</f>
        <v>229.5</v>
      </c>
    </row>
    <row r="88" spans="2:6" x14ac:dyDescent="0.3">
      <c r="B88" s="38" t="s">
        <v>3</v>
      </c>
      <c r="C88" s="133" t="s">
        <v>18</v>
      </c>
      <c r="D88" s="133"/>
      <c r="E88" s="133"/>
      <c r="F88" s="40">
        <f>MATERIAIS</f>
        <v>0</v>
      </c>
    </row>
    <row r="89" spans="2:6" x14ac:dyDescent="0.3">
      <c r="B89" s="38" t="s">
        <v>4</v>
      </c>
      <c r="C89" s="132" t="s">
        <v>17</v>
      </c>
      <c r="D89" s="132"/>
      <c r="E89" s="132"/>
      <c r="F89" s="50">
        <f>EQUIPAMENTOS</f>
        <v>0</v>
      </c>
    </row>
    <row r="90" spans="2:6" x14ac:dyDescent="0.3">
      <c r="B90" s="38" t="s">
        <v>5</v>
      </c>
      <c r="C90" s="201" t="str">
        <f>OUTROS_INSUMOS_DESCRICAO</f>
        <v>Outros (Especificar)</v>
      </c>
      <c r="D90" s="133"/>
      <c r="E90" s="133"/>
      <c r="F90" s="40">
        <f>OUTROS_INSUMOS</f>
        <v>0</v>
      </c>
    </row>
    <row r="91" spans="2:6" x14ac:dyDescent="0.3">
      <c r="B91" s="199" t="s">
        <v>43</v>
      </c>
      <c r="C91" s="199"/>
      <c r="D91" s="199"/>
      <c r="E91" s="199"/>
      <c r="F91" s="37">
        <f>SUM(F87:F90)</f>
        <v>229.5</v>
      </c>
    </row>
    <row r="92" spans="2:6" ht="7.5" customHeight="1" x14ac:dyDescent="0.3">
      <c r="B92" s="10"/>
      <c r="C92" s="7"/>
      <c r="D92" s="11"/>
      <c r="E92" s="8"/>
      <c r="F92" s="8"/>
    </row>
    <row r="93" spans="2:6" ht="15" customHeight="1" x14ac:dyDescent="0.3">
      <c r="B93" s="125" t="s">
        <v>67</v>
      </c>
      <c r="C93" s="125"/>
      <c r="D93" s="125"/>
      <c r="E93" s="125"/>
      <c r="F93" s="125"/>
    </row>
    <row r="94" spans="2:6" x14ac:dyDescent="0.3">
      <c r="B94" s="1">
        <v>6</v>
      </c>
      <c r="C94" s="137" t="s">
        <v>22</v>
      </c>
      <c r="D94" s="137"/>
      <c r="E94" s="3" t="s">
        <v>1</v>
      </c>
      <c r="F94" s="3" t="s">
        <v>13</v>
      </c>
    </row>
    <row r="95" spans="2:6" x14ac:dyDescent="0.3">
      <c r="B95" s="1" t="s">
        <v>2</v>
      </c>
      <c r="C95" s="173" t="s">
        <v>69</v>
      </c>
      <c r="D95" s="173"/>
      <c r="E95" s="51">
        <f>PERC_CUSTOS_INDIRETOS</f>
        <v>4.7300000000000004</v>
      </c>
      <c r="F95" s="48">
        <f>PERC_CUSTOS_INDIRETOS%*(MOD_1_REMUNERACAO_12X36+MOD_2_ENCARGOS_BENEFICIOS_12x36+MOD_3_PROVISAO_RESCISAO_12x36+MOD_4_CUSTO_REPOSICAO_12x36+MOD_5_INSUMOS_12x36)</f>
        <v>1036.06</v>
      </c>
    </row>
    <row r="96" spans="2:6" ht="15.75" customHeight="1" x14ac:dyDescent="0.3">
      <c r="B96" s="2" t="s">
        <v>3</v>
      </c>
      <c r="C96" s="174" t="s">
        <v>29</v>
      </c>
      <c r="D96" s="174"/>
      <c r="E96" s="41">
        <f>PERC_LUCRO</f>
        <v>5.57</v>
      </c>
      <c r="F96" s="30">
        <f>PERC_LUCRO%*(MOD_1_REMUNERACAO_12X36+MOD_2_ENCARGOS_BENEFICIOS_12x36+MOD_3_PROVISAO_RESCISAO_12x36+MOD_4_CUSTO_REPOSICAO_12x36+MOD_5_INSUMOS_12x36+AL_6_A_CUSTOS_INDIRETOS_12x36)</f>
        <v>1277.76</v>
      </c>
    </row>
    <row r="97" spans="2:6" x14ac:dyDescent="0.3">
      <c r="B97" s="2" t="s">
        <v>4</v>
      </c>
      <c r="C97" s="173" t="s">
        <v>23</v>
      </c>
      <c r="D97" s="173"/>
      <c r="E97" s="51">
        <f>SUM(E98:E100)</f>
        <v>8.65</v>
      </c>
      <c r="F97" s="48">
        <f>SUM(F98:F100)</f>
        <v>2293.1999999999998</v>
      </c>
    </row>
    <row r="98" spans="2:6" ht="15.75" customHeight="1" x14ac:dyDescent="0.3">
      <c r="B98" s="24" t="s">
        <v>70</v>
      </c>
      <c r="C98" s="202" t="s">
        <v>24</v>
      </c>
      <c r="D98" s="202"/>
      <c r="E98" s="25">
        <f>PERC_PIS</f>
        <v>0.65</v>
      </c>
      <c r="F98" s="53">
        <f>((MOD_1_REMUNERACAO_12X36+MOD_2_ENCARGOS_BENEFICIOS_12x36+MOD_3_PROVISAO_RESCISAO_12x36+MOD_4_CUSTO_REPOSICAO_12x36+MOD_5_INSUMOS_12x36+AL_6_A_CUSTOS_INDIRETOS_12x36+AL_6_B_LUCRO_12x36)*PERC_PIS%)/(1-PERC_TRIBUTOS%)</f>
        <v>172.32</v>
      </c>
    </row>
    <row r="99" spans="2:6" x14ac:dyDescent="0.3">
      <c r="B99" s="24" t="s">
        <v>71</v>
      </c>
      <c r="C99" s="203" t="s">
        <v>25</v>
      </c>
      <c r="D99" s="203"/>
      <c r="E99" s="52">
        <f>PERC_COFINS</f>
        <v>3</v>
      </c>
      <c r="F99" s="54">
        <f>((MOD_1_REMUNERACAO_12X36+MOD_2_ENCARGOS_BENEFICIOS_12x36+MOD_3_PROVISAO_RESCISAO_12x36+MOD_4_CUSTO_REPOSICAO_12x36+MOD_5_INSUMOS_12x36+AL_6_A_CUSTOS_INDIRETOS_12x36+AL_6_B_LUCRO_12x36)*PERC_COFINS%)/(1-PERC_TRIBUTOS%)</f>
        <v>795.33</v>
      </c>
    </row>
    <row r="100" spans="2:6" s="79" customFormat="1" x14ac:dyDescent="0.3">
      <c r="B100" s="24" t="s">
        <v>72</v>
      </c>
      <c r="C100" s="202" t="s">
        <v>26</v>
      </c>
      <c r="D100" s="202"/>
      <c r="E100" s="25">
        <f>PERC_ISS</f>
        <v>5</v>
      </c>
      <c r="F100" s="53">
        <f>((MOD_1_REMUNERACAO_12X36+MOD_2_ENCARGOS_BENEFICIOS_12x36+MOD_3_PROVISAO_RESCISAO_12x36+MOD_4_CUSTO_REPOSICAO_12x36+MOD_5_INSUMOS_12x36+AL_6_A_CUSTOS_INDIRETOS_12x36+AL_6_B_LUCRO_12x36)*PERC_ISS%)/(1-PERC_TRIBUTOS%)</f>
        <v>1325.55</v>
      </c>
    </row>
    <row r="101" spans="2:6" s="79" customFormat="1" x14ac:dyDescent="0.3">
      <c r="B101" s="128" t="s">
        <v>43</v>
      </c>
      <c r="C101" s="129"/>
      <c r="D101" s="129"/>
      <c r="E101" s="130"/>
      <c r="F101" s="31">
        <f>AL_6_A_CUSTOS_INDIRETOS_12x36+AL_6_B_LUCRO_12x36+AL_6_C_TRIBUTOS_12x36</f>
        <v>4607.0200000000004</v>
      </c>
    </row>
    <row r="102" spans="2:6" s="79" customFormat="1" ht="20.25" x14ac:dyDescent="0.3">
      <c r="B102" s="45" t="s">
        <v>50</v>
      </c>
      <c r="C102" s="9"/>
      <c r="D102" s="9"/>
      <c r="E102" s="9"/>
      <c r="F102" s="16"/>
    </row>
    <row r="103" spans="2:6" s="80" customFormat="1" ht="16.5" customHeight="1" x14ac:dyDescent="0.3">
      <c r="B103" s="2" t="s">
        <v>89</v>
      </c>
      <c r="C103" s="138" t="s">
        <v>90</v>
      </c>
      <c r="D103" s="139"/>
      <c r="E103" s="140"/>
      <c r="F103" s="3" t="s">
        <v>19</v>
      </c>
    </row>
    <row r="104" spans="2:6" s="79" customFormat="1" x14ac:dyDescent="0.3">
      <c r="B104" s="1">
        <v>1</v>
      </c>
      <c r="C104" s="173" t="s">
        <v>9</v>
      </c>
      <c r="D104" s="173"/>
      <c r="E104" s="173"/>
      <c r="F104" s="48">
        <f>MOD_1_REMUNERACAO_12X36</f>
        <v>11871.28</v>
      </c>
    </row>
    <row r="105" spans="2:6" s="81" customFormat="1" ht="16.5" customHeight="1" x14ac:dyDescent="0.3">
      <c r="B105" s="2">
        <v>2</v>
      </c>
      <c r="C105" s="174" t="s">
        <v>91</v>
      </c>
      <c r="D105" s="174"/>
      <c r="E105" s="174"/>
      <c r="F105" s="30">
        <f>MOD_2_ENCARGOS_BENEFICIOS_12x36</f>
        <v>7252.58</v>
      </c>
    </row>
    <row r="106" spans="2:6" s="81" customFormat="1" x14ac:dyDescent="0.3">
      <c r="B106" s="2">
        <v>3</v>
      </c>
      <c r="C106" s="173" t="s">
        <v>45</v>
      </c>
      <c r="D106" s="173"/>
      <c r="E106" s="173"/>
      <c r="F106" s="48">
        <f>MOD_3_PROVISAO_RESCISAO_12x36</f>
        <v>519.69000000000005</v>
      </c>
    </row>
    <row r="107" spans="2:6" s="81" customFormat="1" x14ac:dyDescent="0.3">
      <c r="B107" s="2">
        <v>4</v>
      </c>
      <c r="C107" s="174" t="s">
        <v>48</v>
      </c>
      <c r="D107" s="174"/>
      <c r="E107" s="174"/>
      <c r="F107" s="30">
        <f>MOD_4_CUSTO_REPOSICAO_12x36</f>
        <v>2030.95</v>
      </c>
    </row>
    <row r="108" spans="2:6" s="81" customFormat="1" x14ac:dyDescent="0.3">
      <c r="B108" s="2">
        <v>5</v>
      </c>
      <c r="C108" s="173" t="s">
        <v>0</v>
      </c>
      <c r="D108" s="173"/>
      <c r="E108" s="173"/>
      <c r="F108" s="48">
        <f>MOD_5_INSUMOS_12x36</f>
        <v>229.5</v>
      </c>
    </row>
    <row r="109" spans="2:6" s="81" customFormat="1" x14ac:dyDescent="0.3">
      <c r="B109" s="2">
        <v>6</v>
      </c>
      <c r="C109" s="174" t="s">
        <v>22</v>
      </c>
      <c r="D109" s="174"/>
      <c r="E109" s="174"/>
      <c r="F109" s="30">
        <f>MOD_6_CUSTOS_IND_LUCRO_TRIB_12x36</f>
        <v>4607.0200000000004</v>
      </c>
    </row>
    <row r="110" spans="2:6" ht="16.5" customHeight="1" x14ac:dyDescent="0.3">
      <c r="B110" s="172" t="s">
        <v>92</v>
      </c>
      <c r="C110" s="172"/>
      <c r="D110" s="172"/>
      <c r="E110" s="172"/>
      <c r="F110" s="31">
        <f>SUM(F104:F109)</f>
        <v>26511.02</v>
      </c>
    </row>
    <row r="111" spans="2:6" ht="16.5" customHeight="1" x14ac:dyDescent="0.3">
      <c r="B111" s="172" t="s">
        <v>28</v>
      </c>
      <c r="C111" s="172"/>
      <c r="D111" s="172"/>
      <c r="E111" s="172"/>
      <c r="F111" s="31">
        <f>VALOR_TOTAL_EMPREGADO_12x36*EMPREG_POR_POSTO</f>
        <v>26511.02</v>
      </c>
    </row>
    <row r="112" spans="2:6" x14ac:dyDescent="0.3">
      <c r="B112" s="172" t="s">
        <v>149</v>
      </c>
      <c r="C112" s="172"/>
      <c r="D112" s="172"/>
      <c r="E112" s="172"/>
      <c r="F112" s="31">
        <f>VALOR_TOTAL_EMPREGADO_12x36*EMPREG_POR_POSTO*QTDE_POSTOS</f>
        <v>26511.02</v>
      </c>
    </row>
    <row r="114" spans="2:2" x14ac:dyDescent="0.3">
      <c r="B114" s="7" t="s">
        <v>173</v>
      </c>
    </row>
  </sheetData>
  <sheetProtection sheet="1" objects="1" scenarios="1"/>
  <mergeCells count="100">
    <mergeCell ref="B112:E112"/>
    <mergeCell ref="C106:E106"/>
    <mergeCell ref="C107:E107"/>
    <mergeCell ref="C108:E108"/>
    <mergeCell ref="C109:E109"/>
    <mergeCell ref="B110:E110"/>
    <mergeCell ref="B111:E111"/>
    <mergeCell ref="C105:E105"/>
    <mergeCell ref="B93:F93"/>
    <mergeCell ref="C94:D94"/>
    <mergeCell ref="C95:D95"/>
    <mergeCell ref="C96:D96"/>
    <mergeCell ref="C97:D97"/>
    <mergeCell ref="C98:D98"/>
    <mergeCell ref="C99:D99"/>
    <mergeCell ref="C100:D100"/>
    <mergeCell ref="B101:E101"/>
    <mergeCell ref="C103:E103"/>
    <mergeCell ref="C104:E104"/>
    <mergeCell ref="B91:E91"/>
    <mergeCell ref="C77:D77"/>
    <mergeCell ref="C78:D78"/>
    <mergeCell ref="B79:E79"/>
    <mergeCell ref="C81:E81"/>
    <mergeCell ref="C82:E82"/>
    <mergeCell ref="B83:E83"/>
    <mergeCell ref="C86:E86"/>
    <mergeCell ref="C87:E87"/>
    <mergeCell ref="C88:E88"/>
    <mergeCell ref="C89:E89"/>
    <mergeCell ref="C90:E90"/>
    <mergeCell ref="C76:D76"/>
    <mergeCell ref="C62:D62"/>
    <mergeCell ref="C64:D64"/>
    <mergeCell ref="C63:D63"/>
    <mergeCell ref="B68:E68"/>
    <mergeCell ref="C72:D72"/>
    <mergeCell ref="C73:D73"/>
    <mergeCell ref="C74:D74"/>
    <mergeCell ref="C75:D75"/>
    <mergeCell ref="C65:D65"/>
    <mergeCell ref="C66:D66"/>
    <mergeCell ref="C67:D67"/>
    <mergeCell ref="C61:D61"/>
    <mergeCell ref="C44:D44"/>
    <mergeCell ref="C45:D45"/>
    <mergeCell ref="C46:D46"/>
    <mergeCell ref="B47:E47"/>
    <mergeCell ref="C49:E49"/>
    <mergeCell ref="C50:E50"/>
    <mergeCell ref="C51:E51"/>
    <mergeCell ref="C52:E52"/>
    <mergeCell ref="C53:E53"/>
    <mergeCell ref="C54:E54"/>
    <mergeCell ref="B55:E55"/>
    <mergeCell ref="C57:E57"/>
    <mergeCell ref="C58:E58"/>
    <mergeCell ref="B59:E59"/>
    <mergeCell ref="C43:D43"/>
    <mergeCell ref="B30:E30"/>
    <mergeCell ref="C33:D33"/>
    <mergeCell ref="C34:D34"/>
    <mergeCell ref="C35:D35"/>
    <mergeCell ref="B36:E36"/>
    <mergeCell ref="B37:F37"/>
    <mergeCell ref="C38:D38"/>
    <mergeCell ref="C39:D39"/>
    <mergeCell ref="C40:D40"/>
    <mergeCell ref="C41:D41"/>
    <mergeCell ref="C42:D42"/>
    <mergeCell ref="D15:F15"/>
    <mergeCell ref="C29:E29"/>
    <mergeCell ref="C26:E26"/>
    <mergeCell ref="D16:F16"/>
    <mergeCell ref="C17:E17"/>
    <mergeCell ref="B18:F18"/>
    <mergeCell ref="B19:E19"/>
    <mergeCell ref="C21:E21"/>
    <mergeCell ref="C22:E22"/>
    <mergeCell ref="C23:E23"/>
    <mergeCell ref="C24:E24"/>
    <mergeCell ref="C25:E25"/>
    <mergeCell ref="C27:E27"/>
    <mergeCell ref="C28:E28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.19685039370078741" footer="0.15748031496062992"/>
  <pageSetup paperSize="9" orientation="portrait" r:id="rId1"/>
  <ignoredErrors>
    <ignoredError sqref="B1:F1 B13:F13 B4:F4 C3:F3 B2:F2 B10:F11 B9:D9 E9:F9 B12:E12 C17:F17 B14:D14 F14 B15:C15 E15:F15 C16 E16:F16 B7:F8 C6:F6 C5:F5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04"/>
  <sheetViews>
    <sheetView topLeftCell="A52" zoomScaleNormal="100" zoomScaleSheetLayoutView="100" workbookViewId="0">
      <selection activeCell="F17" sqref="F17"/>
    </sheetView>
  </sheetViews>
  <sheetFormatPr defaultColWidth="9.140625" defaultRowHeight="16.5" x14ac:dyDescent="0.3"/>
  <cols>
    <col min="1" max="1" width="2.7109375" style="7" customWidth="1"/>
    <col min="2" max="2" width="8.7109375" style="7" customWidth="1"/>
    <col min="3" max="3" width="52.42578125" style="12" customWidth="1"/>
    <col min="4" max="4" width="15.7109375" style="12" customWidth="1"/>
    <col min="5" max="5" width="13.42578125" style="12" customWidth="1"/>
    <col min="6" max="6" width="19.42578125" style="12" customWidth="1"/>
    <col min="7" max="16384" width="9.140625" style="7"/>
  </cols>
  <sheetData>
    <row r="1" spans="2:6" ht="20.25" x14ac:dyDescent="0.35">
      <c r="B1" s="179" t="str">
        <f>RAMO</f>
        <v>RAMO: CONSELHO NACINAL DO MINISTÉRIO PÚBLICO</v>
      </c>
      <c r="C1" s="180"/>
      <c r="D1" s="180"/>
      <c r="E1" s="180"/>
      <c r="F1" s="181"/>
    </row>
    <row r="2" spans="2:6" ht="20.25" x14ac:dyDescent="0.35">
      <c r="B2" s="182" t="str">
        <f>UG</f>
        <v>UNIDADE GESTORA (SIGLA): CNMP</v>
      </c>
      <c r="C2" s="183"/>
      <c r="D2" s="184"/>
      <c r="E2" s="69" t="s">
        <v>51</v>
      </c>
      <c r="F2" s="70">
        <f>DATA_DO_ORCAMENTO_ESTIMATIVO</f>
        <v>45792</v>
      </c>
    </row>
    <row r="3" spans="2:6" s="71" customFormat="1" ht="25.5" x14ac:dyDescent="0.5">
      <c r="B3" s="145" t="s">
        <v>150</v>
      </c>
      <c r="C3" s="145"/>
      <c r="D3" s="145"/>
      <c r="E3" s="145"/>
      <c r="F3" s="145"/>
    </row>
    <row r="4" spans="2:6" s="71" customFormat="1" ht="16.149999999999999" customHeight="1" x14ac:dyDescent="0.3">
      <c r="B4" s="146" t="s">
        <v>88</v>
      </c>
      <c r="C4" s="146"/>
      <c r="D4" s="146"/>
      <c r="E4" s="146"/>
      <c r="F4" s="146"/>
    </row>
    <row r="5" spans="2:6" s="71" customFormat="1" ht="16.149999999999999" customHeight="1" x14ac:dyDescent="0.3">
      <c r="B5" s="147" t="s">
        <v>165</v>
      </c>
      <c r="C5" s="147"/>
      <c r="D5" s="185" t="str">
        <f>NUMERO_PROCESSO</f>
        <v>19.00.1300.0002626/2025-07</v>
      </c>
      <c r="E5" s="185"/>
      <c r="F5" s="185"/>
    </row>
    <row r="6" spans="2:6" s="71" customFormat="1" ht="15.75" customHeight="1" x14ac:dyDescent="0.3">
      <c r="B6" s="151" t="s">
        <v>166</v>
      </c>
      <c r="C6" s="151"/>
      <c r="D6" s="186" t="str">
        <f>MODALIDADE_DE_LICITACAO</f>
        <v>Pregão nº</v>
      </c>
      <c r="E6" s="186"/>
      <c r="F6" s="93" t="str">
        <f>NUMERO_PREGAO</f>
        <v>XX/20XX</v>
      </c>
    </row>
    <row r="7" spans="2:6" s="71" customFormat="1" ht="15.75" customHeight="1" x14ac:dyDescent="0.3">
      <c r="B7" s="187" t="s">
        <v>52</v>
      </c>
      <c r="C7" s="187"/>
      <c r="D7" s="187"/>
      <c r="E7" s="187"/>
      <c r="F7" s="187"/>
    </row>
    <row r="8" spans="2:6" s="71" customFormat="1" ht="18" customHeight="1" x14ac:dyDescent="0.3">
      <c r="B8" s="18" t="s">
        <v>2</v>
      </c>
      <c r="C8" s="147" t="s">
        <v>57</v>
      </c>
      <c r="D8" s="147"/>
      <c r="E8" s="147"/>
      <c r="F8" s="72">
        <f>DATA_APRESENTACAO_PROPOSTA</f>
        <v>0</v>
      </c>
    </row>
    <row r="9" spans="2:6" s="71" customFormat="1" ht="16.149999999999999" customHeight="1" x14ac:dyDescent="0.15">
      <c r="B9" s="1" t="s">
        <v>3</v>
      </c>
      <c r="C9" s="57" t="s">
        <v>33</v>
      </c>
      <c r="D9" s="188" t="str">
        <f>IF(LOCAL_DE_EXECUCAO="","",LOCAL_DE_EXECUCAO)</f>
        <v>Sede do CNMP</v>
      </c>
      <c r="E9" s="188"/>
      <c r="F9" s="188"/>
    </row>
    <row r="10" spans="2:6" s="71" customFormat="1" ht="18.75" customHeight="1" x14ac:dyDescent="0.3">
      <c r="B10" s="18" t="s">
        <v>4</v>
      </c>
      <c r="C10" s="147" t="s">
        <v>34</v>
      </c>
      <c r="D10" s="147"/>
      <c r="E10" s="147"/>
      <c r="F10" s="73" t="str">
        <f>ACORDO_COLETIVO</f>
        <v>91/2025</v>
      </c>
    </row>
    <row r="11" spans="2:6" s="71" customFormat="1" ht="16.149999999999999" customHeight="1" x14ac:dyDescent="0.3">
      <c r="B11" s="1" t="s">
        <v>5</v>
      </c>
      <c r="C11" s="188" t="s">
        <v>58</v>
      </c>
      <c r="D11" s="188"/>
      <c r="E11" s="188"/>
      <c r="F11" s="23">
        <f>NUMERO_MESES_EXEC_CONTRATUAL</f>
        <v>60</v>
      </c>
    </row>
    <row r="12" spans="2:6" s="71" customFormat="1" x14ac:dyDescent="0.3">
      <c r="B12" s="1" t="s">
        <v>6</v>
      </c>
      <c r="C12" s="189" t="s">
        <v>76</v>
      </c>
      <c r="D12" s="189"/>
      <c r="E12" s="189"/>
      <c r="F12" s="55">
        <f>IF(QTDE_POSTOS="","",QTDE_POSTOS)</f>
        <v>1</v>
      </c>
    </row>
    <row r="13" spans="2:6" s="76" customFormat="1" ht="15" customHeight="1" x14ac:dyDescent="0.2">
      <c r="B13" s="74" t="s">
        <v>146</v>
      </c>
      <c r="C13" s="75"/>
      <c r="D13" s="75"/>
      <c r="E13" s="75"/>
      <c r="F13" s="75"/>
    </row>
    <row r="14" spans="2:6" s="71" customFormat="1" x14ac:dyDescent="0.3">
      <c r="B14" s="18">
        <v>1</v>
      </c>
      <c r="C14" s="112" t="s">
        <v>54</v>
      </c>
      <c r="D14" s="112"/>
      <c r="E14" s="190" t="str">
        <f>IF(TIPO_DE_SERVICO="","",TIPO_DE_SERVICO)</f>
        <v>Supervisor Técnico</v>
      </c>
      <c r="F14" s="190"/>
    </row>
    <row r="15" spans="2:6" s="71" customFormat="1" x14ac:dyDescent="0.3">
      <c r="B15" s="18">
        <v>2</v>
      </c>
      <c r="C15" s="20" t="s">
        <v>53</v>
      </c>
      <c r="D15" s="191" t="str">
        <f>IF(CBO="","",CBO)</f>
        <v>3732-30</v>
      </c>
      <c r="E15" s="191"/>
      <c r="F15" s="191"/>
    </row>
    <row r="16" spans="2:6" s="71" customFormat="1" ht="15" customHeight="1" x14ac:dyDescent="0.3">
      <c r="B16" s="18">
        <v>3</v>
      </c>
      <c r="C16" s="89" t="s">
        <v>55</v>
      </c>
      <c r="D16" s="190" t="str">
        <f>IF(CATEGORIA_PROFISSIONAL="","",CATEGORIA_PROFISSIONAL)</f>
        <v>Audiovisual</v>
      </c>
      <c r="E16" s="190"/>
      <c r="F16" s="190"/>
    </row>
    <row r="17" spans="2:6" s="71" customFormat="1" ht="15" customHeight="1" x14ac:dyDescent="0.3">
      <c r="B17" s="18">
        <v>4</v>
      </c>
      <c r="C17" s="111" t="s">
        <v>56</v>
      </c>
      <c r="D17" s="111"/>
      <c r="E17" s="111"/>
      <c r="F17" s="90">
        <f>DATA_BASE_CATEGORIA</f>
        <v>45658</v>
      </c>
    </row>
    <row r="18" spans="2:6" s="77" customFormat="1" ht="20.25" customHeight="1" x14ac:dyDescent="0.3">
      <c r="B18" s="192" t="s">
        <v>37</v>
      </c>
      <c r="C18" s="192"/>
      <c r="D18" s="192"/>
      <c r="E18" s="192"/>
      <c r="F18" s="192"/>
    </row>
    <row r="19" spans="2:6" x14ac:dyDescent="0.3">
      <c r="B19" s="137" t="s">
        <v>49</v>
      </c>
      <c r="C19" s="137"/>
      <c r="D19" s="137"/>
      <c r="E19" s="137"/>
      <c r="F19" s="82">
        <f>IF(EMPREG_POR_POSTO="","",EMPREG_POR_POSTO)</f>
        <v>1</v>
      </c>
    </row>
    <row r="20" spans="2:6" x14ac:dyDescent="0.3">
      <c r="B20" s="44" t="s">
        <v>8</v>
      </c>
      <c r="E20" s="8"/>
      <c r="F20" s="8"/>
    </row>
    <row r="21" spans="2:6" x14ac:dyDescent="0.3">
      <c r="B21" s="1">
        <v>1</v>
      </c>
      <c r="C21" s="116" t="s">
        <v>9</v>
      </c>
      <c r="D21" s="116"/>
      <c r="E21" s="116"/>
      <c r="F21" s="3" t="s">
        <v>13</v>
      </c>
    </row>
    <row r="22" spans="2:6" x14ac:dyDescent="0.3">
      <c r="B22" s="1" t="s">
        <v>2</v>
      </c>
      <c r="C22" s="117" t="s">
        <v>83</v>
      </c>
      <c r="D22" s="117"/>
      <c r="E22" s="117"/>
      <c r="F22" s="47">
        <f>SALARIO_BASE</f>
        <v>11871.28</v>
      </c>
    </row>
    <row r="23" spans="2:6" x14ac:dyDescent="0.3">
      <c r="B23" s="1" t="s">
        <v>3</v>
      </c>
      <c r="C23" s="174" t="s">
        <v>85</v>
      </c>
      <c r="D23" s="174"/>
      <c r="E23" s="174"/>
      <c r="F23" s="4">
        <f>PERC_ADIC_PERIC%*SALARIO_BASE</f>
        <v>0</v>
      </c>
    </row>
    <row r="24" spans="2:6" ht="15.75" customHeight="1" x14ac:dyDescent="0.3">
      <c r="B24" s="1" t="s">
        <v>4</v>
      </c>
      <c r="C24" s="121" t="s">
        <v>148</v>
      </c>
      <c r="D24" s="122"/>
      <c r="E24" s="123"/>
      <c r="F24" s="47">
        <f>PERC_ADIC_INS%*SAL_MINIMO</f>
        <v>0</v>
      </c>
    </row>
    <row r="25" spans="2:6" x14ac:dyDescent="0.3">
      <c r="B25" s="1" t="s">
        <v>5</v>
      </c>
      <c r="C25" s="113" t="str">
        <f>OUTROS_REMUNERACAO_1_DESCRICAO</f>
        <v>Outras Remunerações 1 (Especificar)</v>
      </c>
      <c r="D25" s="114"/>
      <c r="E25" s="115"/>
      <c r="F25" s="4">
        <f>OUTROS_REMUNERACAO_1</f>
        <v>0</v>
      </c>
    </row>
    <row r="26" spans="2:6" x14ac:dyDescent="0.3">
      <c r="B26" s="1" t="s">
        <v>6</v>
      </c>
      <c r="C26" s="194" t="str">
        <f>OUTROS_REMUNERACAO_2_DESCRICAO</f>
        <v>Outras Remunerações 2 (Especificar)</v>
      </c>
      <c r="D26" s="195"/>
      <c r="E26" s="196"/>
      <c r="F26" s="47">
        <f>OUTROS_REMUNERACAO_2</f>
        <v>0</v>
      </c>
    </row>
    <row r="27" spans="2:6" x14ac:dyDescent="0.3">
      <c r="B27" s="1" t="s">
        <v>7</v>
      </c>
      <c r="C27" s="113" t="str">
        <f>OUTROS_REMUNERACAO_3_DESCRICAO</f>
        <v>Outras Remunerações 3 (Especificar)</v>
      </c>
      <c r="D27" s="114"/>
      <c r="E27" s="115"/>
      <c r="F27" s="4">
        <f>OUTROS_REMUNERACAO_3</f>
        <v>0</v>
      </c>
    </row>
    <row r="28" spans="2:6" x14ac:dyDescent="0.3">
      <c r="B28" s="197" t="s">
        <v>43</v>
      </c>
      <c r="C28" s="197"/>
      <c r="D28" s="197"/>
      <c r="E28" s="197"/>
      <c r="F28" s="34">
        <f>SUM(F22:F27)</f>
        <v>11871.28</v>
      </c>
    </row>
    <row r="29" spans="2:6" x14ac:dyDescent="0.3">
      <c r="B29" s="44" t="s">
        <v>59</v>
      </c>
      <c r="E29" s="14"/>
      <c r="F29" s="14"/>
    </row>
    <row r="30" spans="2:6" x14ac:dyDescent="0.3">
      <c r="B30" s="44" t="s">
        <v>101</v>
      </c>
      <c r="C30" s="6"/>
      <c r="D30" s="15"/>
      <c r="E30" s="13"/>
      <c r="F30" s="13"/>
    </row>
    <row r="31" spans="2:6" x14ac:dyDescent="0.3">
      <c r="B31" s="1" t="s">
        <v>60</v>
      </c>
      <c r="C31" s="137" t="s">
        <v>84</v>
      </c>
      <c r="D31" s="137"/>
      <c r="E31" s="3" t="s">
        <v>1</v>
      </c>
      <c r="F31" s="3" t="s">
        <v>13</v>
      </c>
    </row>
    <row r="32" spans="2:6" x14ac:dyDescent="0.3">
      <c r="B32" s="1" t="s">
        <v>2</v>
      </c>
      <c r="C32" s="173" t="s">
        <v>44</v>
      </c>
      <c r="D32" s="173"/>
      <c r="E32" s="49">
        <f>PERC_DEC_TERC</f>
        <v>8.33</v>
      </c>
      <c r="F32" s="48">
        <f>PERC_DEC_TERC%*MOD_1_REMUNERACAO_44H</f>
        <v>988.88</v>
      </c>
    </row>
    <row r="33" spans="2:6" x14ac:dyDescent="0.3">
      <c r="B33" s="2" t="s">
        <v>3</v>
      </c>
      <c r="C33" s="174" t="s">
        <v>86</v>
      </c>
      <c r="D33" s="174"/>
      <c r="E33" s="32">
        <f>PERC_ADIC_FERIAS</f>
        <v>2.78</v>
      </c>
      <c r="F33" s="30">
        <f>PERC_ADIC_FERIAS%*MOD_1_REMUNERACAO_44H</f>
        <v>330.02</v>
      </c>
    </row>
    <row r="34" spans="2:6" s="78" customFormat="1" x14ac:dyDescent="0.3">
      <c r="B34" s="128" t="s">
        <v>43</v>
      </c>
      <c r="C34" s="129"/>
      <c r="D34" s="129"/>
      <c r="E34" s="130"/>
      <c r="F34" s="35">
        <f>SUM(F32:F33)</f>
        <v>1318.9</v>
      </c>
    </row>
    <row r="35" spans="2:6" s="78" customFormat="1" ht="31.5" customHeight="1" x14ac:dyDescent="0.3">
      <c r="B35" s="198" t="s">
        <v>61</v>
      </c>
      <c r="C35" s="198"/>
      <c r="D35" s="198"/>
      <c r="E35" s="198"/>
      <c r="F35" s="198"/>
    </row>
    <row r="36" spans="2:6" s="78" customFormat="1" ht="34.5" customHeight="1" x14ac:dyDescent="0.3">
      <c r="B36" s="1" t="s">
        <v>62</v>
      </c>
      <c r="C36" s="177" t="s">
        <v>87</v>
      </c>
      <c r="D36" s="177"/>
      <c r="E36" s="3" t="s">
        <v>1</v>
      </c>
      <c r="F36" s="3" t="s">
        <v>13</v>
      </c>
    </row>
    <row r="37" spans="2:6" x14ac:dyDescent="0.3">
      <c r="B37" s="1" t="s">
        <v>2</v>
      </c>
      <c r="C37" s="173" t="s">
        <v>38</v>
      </c>
      <c r="D37" s="173"/>
      <c r="E37" s="49">
        <f>PERC_INSS</f>
        <v>20</v>
      </c>
      <c r="F37" s="48">
        <f>PERC_INSS%*(MOD_1_REMUNERACAO_44H+SUBMOD_2_1_DEC_TERC_ADIC_FERIAS_44H+SUBMOD_2_4_INTERVALO_INTRAJORNADA_12X36)</f>
        <v>2638.04</v>
      </c>
    </row>
    <row r="38" spans="2:6" s="71" customFormat="1" x14ac:dyDescent="0.15">
      <c r="B38" s="2" t="s">
        <v>3</v>
      </c>
      <c r="C38" s="174" t="s">
        <v>40</v>
      </c>
      <c r="D38" s="174"/>
      <c r="E38" s="39">
        <f>PERC_SAL_EDUCACAO</f>
        <v>2.5</v>
      </c>
      <c r="F38" s="30">
        <f>PERC_SAL_EDUCACAO%*(MOD_1_REMUNERACAO_44H+SUBMOD_2_1_DEC_TERC_ADIC_FERIAS_44H)</f>
        <v>329.75</v>
      </c>
    </row>
    <row r="39" spans="2:6" s="71" customFormat="1" x14ac:dyDescent="0.15">
      <c r="B39" s="2" t="s">
        <v>4</v>
      </c>
      <c r="C39" s="173" t="s">
        <v>172</v>
      </c>
      <c r="D39" s="173"/>
      <c r="E39" s="49">
        <f>PERC_RAT</f>
        <v>6</v>
      </c>
      <c r="F39" s="48">
        <f>PERC_RAT%*(MOD_1_REMUNERACAO_44H+SUBMOD_2_1_DEC_TERC_ADIC_FERIAS_44H)</f>
        <v>791.41</v>
      </c>
    </row>
    <row r="40" spans="2:6" s="71" customFormat="1" x14ac:dyDescent="0.15">
      <c r="B40" s="2" t="s">
        <v>5</v>
      </c>
      <c r="C40" s="174" t="s">
        <v>79</v>
      </c>
      <c r="D40" s="174"/>
      <c r="E40" s="32">
        <f>PERC_SESC</f>
        <v>1.5</v>
      </c>
      <c r="F40" s="30">
        <f>PERC_SESC%*(MOD_1_REMUNERACAO_44H+SUBMOD_2_1_DEC_TERC_ADIC_FERIAS_44H)</f>
        <v>197.85</v>
      </c>
    </row>
    <row r="41" spans="2:6" s="71" customFormat="1" x14ac:dyDescent="0.15">
      <c r="B41" s="2" t="s">
        <v>6</v>
      </c>
      <c r="C41" s="173" t="s">
        <v>80</v>
      </c>
      <c r="D41" s="173"/>
      <c r="E41" s="49">
        <f>PERC_SENAC</f>
        <v>1</v>
      </c>
      <c r="F41" s="48">
        <f>PERC_SENAC%*(MOD_1_REMUNERACAO_44H+SUBMOD_2_1_DEC_TERC_ADIC_FERIAS_44H)</f>
        <v>131.9</v>
      </c>
    </row>
    <row r="42" spans="2:6" s="71" customFormat="1" x14ac:dyDescent="0.15">
      <c r="B42" s="2" t="s">
        <v>7</v>
      </c>
      <c r="C42" s="174" t="s">
        <v>42</v>
      </c>
      <c r="D42" s="174"/>
      <c r="E42" s="39">
        <f>PERC_SEBRAE</f>
        <v>0.6</v>
      </c>
      <c r="F42" s="30">
        <f>PERC_SEBRAE%*(MOD_1_REMUNERACAO_44H+SUBMOD_2_1_DEC_TERC_ADIC_FERIAS_44H)</f>
        <v>79.14</v>
      </c>
    </row>
    <row r="43" spans="2:6" s="71" customFormat="1" x14ac:dyDescent="0.15">
      <c r="B43" s="2" t="s">
        <v>10</v>
      </c>
      <c r="C43" s="173" t="s">
        <v>39</v>
      </c>
      <c r="D43" s="173"/>
      <c r="E43" s="49">
        <f>PERC_INCRA</f>
        <v>0.2</v>
      </c>
      <c r="F43" s="48">
        <f>PERC_INCRA%*(MOD_1_REMUNERACAO_44H+SUBMOD_2_1_DEC_TERC_ADIC_FERIAS_44H)</f>
        <v>26.38</v>
      </c>
    </row>
    <row r="44" spans="2:6" x14ac:dyDescent="0.3">
      <c r="B44" s="2" t="s">
        <v>11</v>
      </c>
      <c r="C44" s="174" t="s">
        <v>41</v>
      </c>
      <c r="D44" s="174"/>
      <c r="E44" s="39">
        <f>PERC_FGTS</f>
        <v>8</v>
      </c>
      <c r="F44" s="30">
        <f>PERC_FGTS%*(MOD_1_REMUNERACAO_44H+SUBMOD_2_1_DEC_TERC_ADIC_FERIAS_44H)</f>
        <v>1055.21</v>
      </c>
    </row>
    <row r="45" spans="2:6" x14ac:dyDescent="0.3">
      <c r="B45" s="128" t="s">
        <v>43</v>
      </c>
      <c r="C45" s="129"/>
      <c r="D45" s="129"/>
      <c r="E45" s="130"/>
      <c r="F45" s="36">
        <f>SUM(F37:F44)</f>
        <v>5249.68</v>
      </c>
    </row>
    <row r="46" spans="2:6" ht="15.75" customHeight="1" x14ac:dyDescent="0.3">
      <c r="B46" s="44" t="s">
        <v>64</v>
      </c>
      <c r="C46" s="71"/>
      <c r="D46" s="71"/>
      <c r="E46" s="71"/>
      <c r="F46" s="71"/>
    </row>
    <row r="47" spans="2:6" ht="15.75" customHeight="1" x14ac:dyDescent="0.3">
      <c r="B47" s="1" t="s">
        <v>81</v>
      </c>
      <c r="C47" s="116" t="s">
        <v>14</v>
      </c>
      <c r="D47" s="116"/>
      <c r="E47" s="116"/>
      <c r="F47" s="3" t="s">
        <v>13</v>
      </c>
    </row>
    <row r="48" spans="2:6" x14ac:dyDescent="0.3">
      <c r="B48" s="18" t="s">
        <v>2</v>
      </c>
      <c r="C48" s="173" t="s">
        <v>15</v>
      </c>
      <c r="D48" s="173"/>
      <c r="E48" s="173"/>
      <c r="F48" s="48">
        <f>IF(((TRANSPORTE_POR_DIA*DIAS_UTEIS_TRABALHADOS_NO_MES_44HORAS)-(PERC_DESC_TRANSP_REMUNERACAO%*(AL_1_A_SAL_BASE_44H)))&gt;0,((TRANSPORTE_POR_DIA*DIAS_UTEIS_TRABALHADOS_NO_MES_44HORAS)-(PERC_DESC_TRANSP_REMUNERACAO%*(AL_1_A_SAL_BASE_44H))),0)</f>
        <v>0</v>
      </c>
    </row>
    <row r="49" spans="2:6" s="78" customFormat="1" x14ac:dyDescent="0.3">
      <c r="B49" s="18" t="s">
        <v>3</v>
      </c>
      <c r="C49" s="174" t="s">
        <v>63</v>
      </c>
      <c r="D49" s="174"/>
      <c r="E49" s="174"/>
      <c r="F49" s="30">
        <f>IF(AND(ADESAO_AO_PAT="Sim",PERC_PAT&lt;&gt;""),ALIMENTACAO_POR_DIA*DIAS_UTEIS_TRABALHADOS_NO_MES_44HORAS*(100-PERC_PAT)%,IF(AND(ADESAO_AO_PAT="Sim",PERC_PAT=""),"Insira o % do PAT",ALIMENTACAO_POR_DIA*DIAS_UTEIS_TRABALHADOS_NO_MES_44HORAS))</f>
        <v>957.6</v>
      </c>
    </row>
    <row r="50" spans="2:6" s="78" customFormat="1" x14ac:dyDescent="0.3">
      <c r="B50" s="18" t="s">
        <v>4</v>
      </c>
      <c r="C50" s="194" t="str">
        <f>OUTROS_BENEFICIOS_1_DESCRICAO</f>
        <v>Outros Benefícios 1 (Especificar)</v>
      </c>
      <c r="D50" s="195"/>
      <c r="E50" s="196"/>
      <c r="F50" s="48">
        <f>OUTROS_BENEFICIOS_1</f>
        <v>0</v>
      </c>
    </row>
    <row r="51" spans="2:6" s="78" customFormat="1" x14ac:dyDescent="0.3">
      <c r="B51" s="18" t="s">
        <v>5</v>
      </c>
      <c r="C51" s="113" t="str">
        <f>OUTROS_BENEFICIOS_2_DESCRICAO</f>
        <v>Outros Benefícios 2 (Especificar)</v>
      </c>
      <c r="D51" s="114"/>
      <c r="E51" s="115"/>
      <c r="F51" s="30">
        <f>OUTROS_BENEFICIOS_2</f>
        <v>0</v>
      </c>
    </row>
    <row r="52" spans="2:6" s="78" customFormat="1" x14ac:dyDescent="0.3">
      <c r="B52" s="18" t="s">
        <v>6</v>
      </c>
      <c r="C52" s="194" t="str">
        <f>OUTROS_BENEFICIOS_3_DESCRICAO</f>
        <v>Outros Benefícios 3 (Especificar)</v>
      </c>
      <c r="D52" s="195"/>
      <c r="E52" s="196"/>
      <c r="F52" s="48">
        <f>OUTROS_BENEFICIOS_3</f>
        <v>0</v>
      </c>
    </row>
    <row r="53" spans="2:6" s="78" customFormat="1" ht="15" customHeight="1" x14ac:dyDescent="0.3">
      <c r="B53" s="197" t="s">
        <v>43</v>
      </c>
      <c r="C53" s="197"/>
      <c r="D53" s="197"/>
      <c r="E53" s="197"/>
      <c r="F53" s="34">
        <f>SUM(F48:F52)</f>
        <v>957.6</v>
      </c>
    </row>
    <row r="54" spans="2:6" s="78" customFormat="1" x14ac:dyDescent="0.3">
      <c r="B54" s="44" t="s">
        <v>65</v>
      </c>
      <c r="C54" s="6"/>
      <c r="D54" s="15"/>
      <c r="E54" s="13"/>
      <c r="F54" s="13"/>
    </row>
    <row r="55" spans="2:6" s="78" customFormat="1" ht="15" customHeight="1" x14ac:dyDescent="0.3">
      <c r="B55" s="1">
        <v>3</v>
      </c>
      <c r="C55" s="137" t="s">
        <v>45</v>
      </c>
      <c r="D55" s="137"/>
      <c r="E55" s="3" t="s">
        <v>1</v>
      </c>
      <c r="F55" s="3" t="s">
        <v>13</v>
      </c>
    </row>
    <row r="56" spans="2:6" s="78" customFormat="1" x14ac:dyDescent="0.3">
      <c r="B56" s="1" t="s">
        <v>2</v>
      </c>
      <c r="C56" s="178" t="s">
        <v>46</v>
      </c>
      <c r="D56" s="178"/>
      <c r="E56" s="49">
        <f>PERC_AVISO_PREVIO_IND</f>
        <v>0.28999999999999998</v>
      </c>
      <c r="F56" s="48">
        <f>PERC_AVISO_PREVIO_IND%*(MOD_1_REMUNERACAO_44H+SUBMOD_2_1_DEC_TERC_ADIC_FERIAS_44H)</f>
        <v>38.25</v>
      </c>
    </row>
    <row r="57" spans="2:6" s="78" customFormat="1" x14ac:dyDescent="0.3">
      <c r="B57" s="2" t="s">
        <v>3</v>
      </c>
      <c r="C57" s="176" t="s">
        <v>174</v>
      </c>
      <c r="D57" s="176"/>
      <c r="E57" s="39">
        <f>INCID_FGTS_SOBRE_API</f>
        <v>0.02</v>
      </c>
      <c r="F57" s="30">
        <f>INCID_FGTS_SOBRE_API*(MOD_1_REMUNERACAO_44H+SUBMOD_2_1_DEC_TERC_ADIC_FERIAS_44H)</f>
        <v>263.8</v>
      </c>
    </row>
    <row r="58" spans="2:6" s="71" customFormat="1" x14ac:dyDescent="0.15">
      <c r="B58" s="2" t="s">
        <v>4</v>
      </c>
      <c r="C58" s="170" t="s">
        <v>175</v>
      </c>
      <c r="D58" s="171"/>
      <c r="E58" s="49">
        <f>PERC_MULTA_FGTS_AV_PREV_IND</f>
        <v>0.11</v>
      </c>
      <c r="F58" s="48">
        <f>PERC_MULTA_FGTS_AV_PREV_IND%*(MOD_1_REMUNERACAO_44H+SUBMOD_2_1_DEC_TERC_ADIC_FERIAS_44H)</f>
        <v>14.51</v>
      </c>
    </row>
    <row r="59" spans="2:6" s="71" customFormat="1" x14ac:dyDescent="0.15">
      <c r="B59" s="2" t="s">
        <v>5</v>
      </c>
      <c r="C59" s="176" t="s">
        <v>47</v>
      </c>
      <c r="D59" s="176"/>
      <c r="E59" s="39">
        <f>PERC_AVISO_PREVIO_TRAB</f>
        <v>1.1599999999999999</v>
      </c>
      <c r="F59" s="30">
        <f>PERC_AVISO_PREVIO_TRAB%*(MOD_1_REMUNERACAO_44H+SUBMOD_2_1_DEC_TERC_ADIC_FERIAS_44H)</f>
        <v>153.01</v>
      </c>
    </row>
    <row r="60" spans="2:6" s="71" customFormat="1" x14ac:dyDescent="0.15">
      <c r="B60" s="2" t="s">
        <v>6</v>
      </c>
      <c r="C60" s="170" t="s">
        <v>176</v>
      </c>
      <c r="D60" s="171"/>
      <c r="E60" s="49">
        <f>INCID_SUBMOD_2_2_APT</f>
        <v>0.46</v>
      </c>
      <c r="F60" s="48">
        <f>INCID_SUBMOD_2_2_APT%*(MOD_1_REMUNERACAO_44H+SUBMOD_2_1_DEC_TERC_ADIC_FERIAS_44H)</f>
        <v>60.67</v>
      </c>
    </row>
    <row r="61" spans="2:6" s="71" customFormat="1" x14ac:dyDescent="0.15">
      <c r="B61" s="2" t="s">
        <v>7</v>
      </c>
      <c r="C61" s="176" t="s">
        <v>171</v>
      </c>
      <c r="D61" s="176"/>
      <c r="E61" s="39">
        <f>PERC_MULTA_FGTS_AV_PREV_TRAB</f>
        <v>1.9</v>
      </c>
      <c r="F61" s="30">
        <f>PERC_MULTA_FGTS_AV_PREV_TRAB%*(MOD_1_REMUNERACAO_44H+SUBMOD_2_1_DEC_TERC_ADIC_FERIAS_44H)</f>
        <v>250.61</v>
      </c>
    </row>
    <row r="62" spans="2:6" s="71" customFormat="1" x14ac:dyDescent="0.3">
      <c r="B62" s="128" t="s">
        <v>43</v>
      </c>
      <c r="C62" s="129"/>
      <c r="D62" s="129"/>
      <c r="E62" s="130"/>
      <c r="F62" s="35">
        <f>SUM(F56:F61)</f>
        <v>780.85</v>
      </c>
    </row>
    <row r="63" spans="2:6" ht="7.5" customHeight="1" x14ac:dyDescent="0.3">
      <c r="B63" s="10"/>
      <c r="C63" s="7"/>
      <c r="D63" s="11"/>
      <c r="E63" s="8"/>
      <c r="F63" s="8"/>
    </row>
    <row r="64" spans="2:6" s="71" customFormat="1" ht="16.149999999999999" customHeight="1" x14ac:dyDescent="0.3">
      <c r="B64" s="44" t="s">
        <v>66</v>
      </c>
      <c r="C64" s="6"/>
      <c r="D64" s="15"/>
      <c r="E64" s="7"/>
      <c r="F64" s="7"/>
    </row>
    <row r="65" spans="2:6" s="71" customFormat="1" ht="16.149999999999999" customHeight="1" x14ac:dyDescent="0.3">
      <c r="B65" s="44" t="s">
        <v>93</v>
      </c>
      <c r="C65" s="6"/>
      <c r="D65" s="15"/>
      <c r="E65" s="13"/>
      <c r="F65" s="13"/>
    </row>
    <row r="66" spans="2:6" s="71" customFormat="1" x14ac:dyDescent="0.15">
      <c r="B66" s="1" t="s">
        <v>20</v>
      </c>
      <c r="C66" s="172" t="s">
        <v>94</v>
      </c>
      <c r="D66" s="172"/>
      <c r="E66" s="3" t="s">
        <v>1</v>
      </c>
      <c r="F66" s="3" t="s">
        <v>13</v>
      </c>
    </row>
    <row r="67" spans="2:6" s="71" customFormat="1" ht="16.149999999999999" customHeight="1" x14ac:dyDescent="0.15">
      <c r="B67" s="2" t="s">
        <v>2</v>
      </c>
      <c r="C67" s="173" t="s">
        <v>95</v>
      </c>
      <c r="D67" s="173"/>
      <c r="E67" s="49">
        <f>PERC_SUBSTITUTO_FERIAS</f>
        <v>8.33</v>
      </c>
      <c r="F67" s="48">
        <f>PERC_SUBSTITUTO_FERIAS%*(MOD_1_REMUNERACAO_44H+MOD_2_ENCARGOS_BENEFICIOS_44H+MOD_3_PROVISAO_RESCISAO_44H)</f>
        <v>1680.85</v>
      </c>
    </row>
    <row r="68" spans="2:6" s="71" customFormat="1" ht="16.149999999999999" customHeight="1" x14ac:dyDescent="0.15">
      <c r="B68" s="2" t="s">
        <v>3</v>
      </c>
      <c r="C68" s="174" t="s">
        <v>96</v>
      </c>
      <c r="D68" s="174"/>
      <c r="E68" s="39">
        <f>PERC_SUBSTITUTO_AUSENCIAS_LEGAIS</f>
        <v>2.2200000000000002</v>
      </c>
      <c r="F68" s="30">
        <f>PERC_SUBSTITUTO_AUSENCIAS_LEGAIS%*(MOD_1_REMUNERACAO_44H+MOD_2_ENCARGOS_BENEFICIOS_44H+MOD_3_PROVISAO_RESCISAO_44H)</f>
        <v>447.96</v>
      </c>
    </row>
    <row r="69" spans="2:6" s="71" customFormat="1" ht="16.149999999999999" customHeight="1" x14ac:dyDescent="0.15">
      <c r="B69" s="2" t="s">
        <v>4</v>
      </c>
      <c r="C69" s="173" t="s">
        <v>97</v>
      </c>
      <c r="D69" s="173"/>
      <c r="E69" s="49">
        <f>PERC_SUBSTITUTO_LICENCA_PATERNIDADE</f>
        <v>0.02</v>
      </c>
      <c r="F69" s="48">
        <f>PERC_SUBSTITUTO_LICENCA_PATERNIDADE%*(MOD_1_REMUNERACAO_44H+MOD_2_ENCARGOS_BENEFICIOS_44H+MOD_3_PROVISAO_RESCISAO_44H)</f>
        <v>4.04</v>
      </c>
    </row>
    <row r="70" spans="2:6" s="71" customFormat="1" x14ac:dyDescent="0.15">
      <c r="B70" s="2" t="s">
        <v>5</v>
      </c>
      <c r="C70" s="174" t="s">
        <v>98</v>
      </c>
      <c r="D70" s="174"/>
      <c r="E70" s="39">
        <f>PERC_SUBSTITUTO_ACID_TRAB</f>
        <v>0.02</v>
      </c>
      <c r="F70" s="30">
        <f>PERC_SUBSTITUTO_ACID_TRAB%*(MOD_1_REMUNERACAO_44H+MOD_2_ENCARGOS_BENEFICIOS_44H+MOD_3_PROVISAO_RESCISAO_44H)</f>
        <v>4.04</v>
      </c>
    </row>
    <row r="71" spans="2:6" s="71" customFormat="1" x14ac:dyDescent="0.15">
      <c r="B71" s="2" t="s">
        <v>6</v>
      </c>
      <c r="C71" s="173" t="s">
        <v>99</v>
      </c>
      <c r="D71" s="173"/>
      <c r="E71" s="49">
        <f>PERC_SUBSTITUTO_AFAST_MATERN</f>
        <v>0.03</v>
      </c>
      <c r="F71" s="48">
        <f>PERC_SUBSTITUTO_AFAST_MATERN%*(MOD_1_REMUNERACAO_44H+MOD_2_ENCARGOS_BENEFICIOS_44H+MOD_3_PROVISAO_RESCISAO_44H)</f>
        <v>6.05</v>
      </c>
    </row>
    <row r="72" spans="2:6" s="71" customFormat="1" x14ac:dyDescent="0.15">
      <c r="B72" s="2" t="s">
        <v>7</v>
      </c>
      <c r="C72" s="200" t="str">
        <f>OUTRAS_AUSENCIAS_DESCRICAO</f>
        <v>Outras Ausências (Especificar em %)</v>
      </c>
      <c r="D72" s="174"/>
      <c r="E72" s="46">
        <f>PERC_SUBSTITUTO_OUTRAS_AUSENCIAS</f>
        <v>0</v>
      </c>
      <c r="F72" s="30">
        <f>PERC_SUBSTITUTO_OUTRAS_AUSENCIAS%*(MOD_1_REMUNERACAO_44H+MOD_2_ENCARGOS_BENEFICIOS_44H+MOD_3_PROVISAO_RESCISAO_44H)</f>
        <v>0</v>
      </c>
    </row>
    <row r="73" spans="2:6" s="71" customFormat="1" x14ac:dyDescent="0.3">
      <c r="B73" s="128" t="s">
        <v>43</v>
      </c>
      <c r="C73" s="129"/>
      <c r="D73" s="129"/>
      <c r="E73" s="130"/>
      <c r="F73" s="35">
        <f>SUM(F67:F72)</f>
        <v>2142.94</v>
      </c>
    </row>
    <row r="74" spans="2:6" ht="7.5" customHeight="1" x14ac:dyDescent="0.3">
      <c r="B74" s="10"/>
      <c r="C74" s="7"/>
      <c r="D74" s="11"/>
      <c r="E74" s="8"/>
      <c r="F74" s="8"/>
    </row>
    <row r="75" spans="2:6" x14ac:dyDescent="0.3">
      <c r="B75" s="44" t="s">
        <v>68</v>
      </c>
      <c r="C75" s="6"/>
      <c r="D75" s="6"/>
      <c r="E75" s="13"/>
      <c r="F75" s="13"/>
    </row>
    <row r="76" spans="2:6" ht="15.75" customHeight="1" x14ac:dyDescent="0.3">
      <c r="B76" s="42">
        <v>5</v>
      </c>
      <c r="C76" s="131" t="s">
        <v>0</v>
      </c>
      <c r="D76" s="131"/>
      <c r="E76" s="131"/>
      <c r="F76" s="43" t="s">
        <v>13</v>
      </c>
    </row>
    <row r="77" spans="2:6" x14ac:dyDescent="0.3">
      <c r="B77" s="38" t="s">
        <v>2</v>
      </c>
      <c r="C77" s="132" t="s">
        <v>16</v>
      </c>
      <c r="D77" s="132"/>
      <c r="E77" s="132"/>
      <c r="F77" s="50">
        <f>UNIFORMES</f>
        <v>229.5</v>
      </c>
    </row>
    <row r="78" spans="2:6" x14ac:dyDescent="0.3">
      <c r="B78" s="38" t="s">
        <v>3</v>
      </c>
      <c r="C78" s="133" t="s">
        <v>18</v>
      </c>
      <c r="D78" s="133"/>
      <c r="E78" s="133"/>
      <c r="F78" s="40">
        <f>MATERIAIS</f>
        <v>0</v>
      </c>
    </row>
    <row r="79" spans="2:6" x14ac:dyDescent="0.3">
      <c r="B79" s="38" t="s">
        <v>4</v>
      </c>
      <c r="C79" s="132" t="s">
        <v>17</v>
      </c>
      <c r="D79" s="132"/>
      <c r="E79" s="132"/>
      <c r="F79" s="50">
        <f>EQUIPAMENTOS</f>
        <v>0</v>
      </c>
    </row>
    <row r="80" spans="2:6" x14ac:dyDescent="0.3">
      <c r="B80" s="38" t="s">
        <v>5</v>
      </c>
      <c r="C80" s="201" t="str">
        <f>OUTROS_INSUMOS_DESCRICAO</f>
        <v>Outros (Especificar)</v>
      </c>
      <c r="D80" s="133"/>
      <c r="E80" s="133"/>
      <c r="F80" s="40">
        <f>OUTROS_INSUMOS</f>
        <v>0</v>
      </c>
    </row>
    <row r="81" spans="2:6" x14ac:dyDescent="0.3">
      <c r="B81" s="199" t="s">
        <v>43</v>
      </c>
      <c r="C81" s="199"/>
      <c r="D81" s="199"/>
      <c r="E81" s="199"/>
      <c r="F81" s="37">
        <f>SUM(F77:F80)</f>
        <v>229.5</v>
      </c>
    </row>
    <row r="82" spans="2:6" ht="7.5" customHeight="1" x14ac:dyDescent="0.3">
      <c r="B82" s="10"/>
      <c r="C82" s="7"/>
      <c r="D82" s="11"/>
      <c r="E82" s="8"/>
      <c r="F82" s="8"/>
    </row>
    <row r="83" spans="2:6" ht="15" customHeight="1" x14ac:dyDescent="0.3">
      <c r="B83" s="125" t="s">
        <v>67</v>
      </c>
      <c r="C83" s="125"/>
      <c r="D83" s="125"/>
      <c r="E83" s="125"/>
      <c r="F83" s="125"/>
    </row>
    <row r="84" spans="2:6" x14ac:dyDescent="0.3">
      <c r="B84" s="1">
        <v>6</v>
      </c>
      <c r="C84" s="137" t="s">
        <v>22</v>
      </c>
      <c r="D84" s="137"/>
      <c r="E84" s="3" t="s">
        <v>1</v>
      </c>
      <c r="F84" s="3" t="s">
        <v>13</v>
      </c>
    </row>
    <row r="85" spans="2:6" x14ac:dyDescent="0.3">
      <c r="B85" s="1" t="s">
        <v>2</v>
      </c>
      <c r="C85" s="173" t="s">
        <v>69</v>
      </c>
      <c r="D85" s="173"/>
      <c r="E85" s="51">
        <f>PERC_CUSTOS_INDIRETOS</f>
        <v>4.7300000000000004</v>
      </c>
      <c r="F85" s="48">
        <f>PERC_CUSTOS_INDIRETOS%*(MOD_1_REMUNERACAO_44H+MOD_2_ENCARGOS_BENEFICIOS_44H+MOD_3_PROVISAO_RESCISAO_44H+MOD_4_CUSTO_REPOSICAO_44H+MOD_5_INSUMOS_44H)</f>
        <v>1066.6500000000001</v>
      </c>
    </row>
    <row r="86" spans="2:6" ht="15.75" customHeight="1" x14ac:dyDescent="0.3">
      <c r="B86" s="2" t="s">
        <v>3</v>
      </c>
      <c r="C86" s="174" t="s">
        <v>29</v>
      </c>
      <c r="D86" s="174"/>
      <c r="E86" s="41">
        <f>PERC_LUCRO</f>
        <v>5.57</v>
      </c>
      <c r="F86" s="30">
        <f>PERC_LUCRO%*(MOD_1_REMUNERACAO_44H+MOD_2_ENCARGOS_BENEFICIOS_44H+MOD_3_PROVISAO_RESCISAO_44H+MOD_4_CUSTO_REPOSICAO_44H+MOD_5_INSUMOS_44H+AL_6_A_CUSTOS_INDIRETOS_44H)</f>
        <v>1315.49</v>
      </c>
    </row>
    <row r="87" spans="2:6" x14ac:dyDescent="0.3">
      <c r="B87" s="2" t="s">
        <v>4</v>
      </c>
      <c r="C87" s="173" t="s">
        <v>23</v>
      </c>
      <c r="D87" s="173"/>
      <c r="E87" s="51">
        <f>SUM(E88:E90)</f>
        <v>8.65</v>
      </c>
      <c r="F87" s="48">
        <f>SUM(F88:F90)</f>
        <v>2360.91</v>
      </c>
    </row>
    <row r="88" spans="2:6" ht="15.75" customHeight="1" x14ac:dyDescent="0.3">
      <c r="B88" s="24" t="s">
        <v>70</v>
      </c>
      <c r="C88" s="202" t="s">
        <v>24</v>
      </c>
      <c r="D88" s="202"/>
      <c r="E88" s="25">
        <f>PERC_PIS</f>
        <v>0.65</v>
      </c>
      <c r="F88" s="53">
        <f>((MOD_1_REMUNERACAO_44H+MOD_2_ENCARGOS_BENEFICIOS_44H+MOD_3_PROVISAO_RESCISAO_44H+MOD_4_CUSTO_REPOSICAO_44H+MOD_5_INSUMOS_44H+AL_6_A_CUSTOS_INDIRETOS_44H+AL_6_B_LUCRO_44H)*PERC_PIS%)/(1-PERC_TRIBUTOS%)</f>
        <v>177.41</v>
      </c>
    </row>
    <row r="89" spans="2:6" x14ac:dyDescent="0.3">
      <c r="B89" s="24" t="s">
        <v>71</v>
      </c>
      <c r="C89" s="203" t="s">
        <v>25</v>
      </c>
      <c r="D89" s="203"/>
      <c r="E89" s="52">
        <f>PERC_COFINS</f>
        <v>3</v>
      </c>
      <c r="F89" s="54">
        <f>((MOD_1_REMUNERACAO_44H+MOD_2_ENCARGOS_BENEFICIOS_44H+MOD_3_PROVISAO_RESCISAO_44H+MOD_4_CUSTO_REPOSICAO_44H+MOD_5_INSUMOS_44H+AL_6_A_CUSTOS_INDIRETOS_44H+AL_6_B_LUCRO_44H)*PERC_COFINS%)/(1-PERC_TRIBUTOS%)</f>
        <v>818.81</v>
      </c>
    </row>
    <row r="90" spans="2:6" s="79" customFormat="1" x14ac:dyDescent="0.3">
      <c r="B90" s="24" t="s">
        <v>72</v>
      </c>
      <c r="C90" s="202" t="s">
        <v>26</v>
      </c>
      <c r="D90" s="202"/>
      <c r="E90" s="25">
        <f>PERC_ISS</f>
        <v>5</v>
      </c>
      <c r="F90" s="53">
        <f>((MOD_1_REMUNERACAO_44H+MOD_2_ENCARGOS_BENEFICIOS_44H+MOD_3_PROVISAO_RESCISAO_44H+MOD_4_CUSTO_REPOSICAO_44H+MOD_5_INSUMOS_44H+AL_6_A_CUSTOS_INDIRETOS_44H+AL_6_B_LUCRO_44H)*PERC_ISS%)/(1-PERC_TRIBUTOS%)</f>
        <v>1364.69</v>
      </c>
    </row>
    <row r="91" spans="2:6" s="79" customFormat="1" x14ac:dyDescent="0.3">
      <c r="B91" s="128" t="s">
        <v>43</v>
      </c>
      <c r="C91" s="129"/>
      <c r="D91" s="129"/>
      <c r="E91" s="130"/>
      <c r="F91" s="31">
        <f>AL_6_A_CUSTOS_INDIRETOS_44H+AL_6_B_LUCRO_44H+AL_6_C_TRIBUTOS_44H</f>
        <v>4743.05</v>
      </c>
    </row>
    <row r="92" spans="2:6" s="79" customFormat="1" ht="20.25" x14ac:dyDescent="0.3">
      <c r="B92" s="45" t="s">
        <v>50</v>
      </c>
      <c r="C92" s="9"/>
      <c r="D92" s="9"/>
      <c r="E92" s="9"/>
      <c r="F92" s="16"/>
    </row>
    <row r="93" spans="2:6" s="80" customFormat="1" ht="16.5" customHeight="1" x14ac:dyDescent="0.3">
      <c r="B93" s="2" t="s">
        <v>89</v>
      </c>
      <c r="C93" s="138" t="s">
        <v>90</v>
      </c>
      <c r="D93" s="139"/>
      <c r="E93" s="140"/>
      <c r="F93" s="3" t="s">
        <v>19</v>
      </c>
    </row>
    <row r="94" spans="2:6" s="79" customFormat="1" x14ac:dyDescent="0.3">
      <c r="B94" s="1">
        <v>1</v>
      </c>
      <c r="C94" s="173" t="s">
        <v>9</v>
      </c>
      <c r="D94" s="173"/>
      <c r="E94" s="173"/>
      <c r="F94" s="48">
        <f>MOD_1_REMUNERACAO_44H</f>
        <v>11871.28</v>
      </c>
    </row>
    <row r="95" spans="2:6" s="81" customFormat="1" ht="16.5" customHeight="1" x14ac:dyDescent="0.3">
      <c r="B95" s="2">
        <v>2</v>
      </c>
      <c r="C95" s="174" t="s">
        <v>91</v>
      </c>
      <c r="D95" s="174"/>
      <c r="E95" s="174"/>
      <c r="F95" s="30">
        <f>MOD_2_ENCARGOS_BENEFICIOS_44H</f>
        <v>7526.18</v>
      </c>
    </row>
    <row r="96" spans="2:6" s="81" customFormat="1" x14ac:dyDescent="0.3">
      <c r="B96" s="2">
        <v>3</v>
      </c>
      <c r="C96" s="173" t="s">
        <v>45</v>
      </c>
      <c r="D96" s="173"/>
      <c r="E96" s="173"/>
      <c r="F96" s="48">
        <f>MOD_3_PROVISAO_RESCISAO_44H</f>
        <v>780.85</v>
      </c>
    </row>
    <row r="97" spans="2:6" s="81" customFormat="1" x14ac:dyDescent="0.3">
      <c r="B97" s="2">
        <v>4</v>
      </c>
      <c r="C97" s="174" t="s">
        <v>48</v>
      </c>
      <c r="D97" s="174"/>
      <c r="E97" s="174"/>
      <c r="F97" s="30">
        <f>MOD_4_CUSTO_REPOSICAO_44H</f>
        <v>2142.94</v>
      </c>
    </row>
    <row r="98" spans="2:6" s="81" customFormat="1" x14ac:dyDescent="0.3">
      <c r="B98" s="2">
        <v>5</v>
      </c>
      <c r="C98" s="173" t="s">
        <v>0</v>
      </c>
      <c r="D98" s="173"/>
      <c r="E98" s="173"/>
      <c r="F98" s="48">
        <f>MOD_5_INSUMOS_44H</f>
        <v>229.5</v>
      </c>
    </row>
    <row r="99" spans="2:6" s="81" customFormat="1" x14ac:dyDescent="0.3">
      <c r="B99" s="2">
        <v>6</v>
      </c>
      <c r="C99" s="174" t="s">
        <v>22</v>
      </c>
      <c r="D99" s="174"/>
      <c r="E99" s="174"/>
      <c r="F99" s="30">
        <f>MOD_6_CUSTOS_IND_LUCRO_TRIB_44H</f>
        <v>4743.05</v>
      </c>
    </row>
    <row r="100" spans="2:6" ht="16.5" customHeight="1" x14ac:dyDescent="0.3">
      <c r="B100" s="172" t="s">
        <v>92</v>
      </c>
      <c r="C100" s="172"/>
      <c r="D100" s="172"/>
      <c r="E100" s="172"/>
      <c r="F100" s="31">
        <f>SUM(F94:F99)</f>
        <v>27293.8</v>
      </c>
    </row>
    <row r="101" spans="2:6" ht="16.5" customHeight="1" x14ac:dyDescent="0.3">
      <c r="B101" s="172" t="s">
        <v>28</v>
      </c>
      <c r="C101" s="172"/>
      <c r="D101" s="172"/>
      <c r="E101" s="172"/>
      <c r="F101" s="31">
        <f>VALOR_TOTAL_EMPREGADO_44H*EMPREG_POR_POSTO</f>
        <v>27293.8</v>
      </c>
    </row>
    <row r="102" spans="2:6" x14ac:dyDescent="0.3">
      <c r="B102" s="172" t="s">
        <v>149</v>
      </c>
      <c r="C102" s="172"/>
      <c r="D102" s="172"/>
      <c r="E102" s="172"/>
      <c r="F102" s="31">
        <f>VALOR_TOTAL_EMPREGADO_44H*EMPREG_POR_POSTO*QTDE_POSTOS</f>
        <v>27293.8</v>
      </c>
    </row>
    <row r="104" spans="2:6" x14ac:dyDescent="0.3">
      <c r="B104" s="7" t="s">
        <v>173</v>
      </c>
    </row>
  </sheetData>
  <sheetProtection sheet="1" objects="1" scenarios="1"/>
  <mergeCells count="92">
    <mergeCell ref="C99:E99"/>
    <mergeCell ref="B100:E100"/>
    <mergeCell ref="B101:E101"/>
    <mergeCell ref="B102:E102"/>
    <mergeCell ref="C59:D59"/>
    <mergeCell ref="C60:D60"/>
    <mergeCell ref="C61:D61"/>
    <mergeCell ref="C93:E93"/>
    <mergeCell ref="C94:E94"/>
    <mergeCell ref="C95:E95"/>
    <mergeCell ref="C96:E96"/>
    <mergeCell ref="C97:E97"/>
    <mergeCell ref="C98:E98"/>
    <mergeCell ref="C86:D86"/>
    <mergeCell ref="C87:D87"/>
    <mergeCell ref="C88:D88"/>
    <mergeCell ref="C89:D89"/>
    <mergeCell ref="C90:D90"/>
    <mergeCell ref="B91:E91"/>
    <mergeCell ref="C79:E79"/>
    <mergeCell ref="C80:E80"/>
    <mergeCell ref="B81:E81"/>
    <mergeCell ref="B83:F83"/>
    <mergeCell ref="C84:D84"/>
    <mergeCell ref="C85:D85"/>
    <mergeCell ref="C76:E76"/>
    <mergeCell ref="C77:E77"/>
    <mergeCell ref="C78:E78"/>
    <mergeCell ref="C68:D68"/>
    <mergeCell ref="C69:D69"/>
    <mergeCell ref="C70:D70"/>
    <mergeCell ref="C71:D71"/>
    <mergeCell ref="C72:D72"/>
    <mergeCell ref="B73:E73"/>
    <mergeCell ref="C67:D67"/>
    <mergeCell ref="C49:E49"/>
    <mergeCell ref="C50:E50"/>
    <mergeCell ref="C51:E51"/>
    <mergeCell ref="C52:E52"/>
    <mergeCell ref="B53:E53"/>
    <mergeCell ref="C55:D55"/>
    <mergeCell ref="C56:D56"/>
    <mergeCell ref="C57:D57"/>
    <mergeCell ref="C58:D58"/>
    <mergeCell ref="B62:E62"/>
    <mergeCell ref="C66:D66"/>
    <mergeCell ref="C48:E48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B45:E45"/>
    <mergeCell ref="C47:E47"/>
    <mergeCell ref="B35:F35"/>
    <mergeCell ref="C24:E24"/>
    <mergeCell ref="C25:E25"/>
    <mergeCell ref="C26:E26"/>
    <mergeCell ref="C27:E27"/>
    <mergeCell ref="B28:E28"/>
    <mergeCell ref="C31:D31"/>
    <mergeCell ref="C32:D32"/>
    <mergeCell ref="C33:D33"/>
    <mergeCell ref="B34:E34"/>
    <mergeCell ref="C23:E23"/>
    <mergeCell ref="C11:E11"/>
    <mergeCell ref="C12:E12"/>
    <mergeCell ref="C14:D14"/>
    <mergeCell ref="E14:F14"/>
    <mergeCell ref="D15:F15"/>
    <mergeCell ref="D16:F16"/>
    <mergeCell ref="C17:E17"/>
    <mergeCell ref="B18:F18"/>
    <mergeCell ref="B19:E19"/>
    <mergeCell ref="C21:E21"/>
    <mergeCell ref="C22:E22"/>
    <mergeCell ref="C10:E10"/>
    <mergeCell ref="B1:F1"/>
    <mergeCell ref="B2:D2"/>
    <mergeCell ref="B3:F3"/>
    <mergeCell ref="B4:F4"/>
    <mergeCell ref="B5:C5"/>
    <mergeCell ref="D5:F5"/>
    <mergeCell ref="B6:C6"/>
    <mergeCell ref="D6:E6"/>
    <mergeCell ref="B7:F7"/>
    <mergeCell ref="C8:E8"/>
    <mergeCell ref="D9:F9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.19685039370078741" footer="0.1574803149606299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44 HORAS</vt:lpstr>
      <vt:lpstr>ACORDO_COLETIVO</vt:lpstr>
      <vt:lpstr>ADESAO_AO_PAT</vt:lpstr>
      <vt:lpstr>'POSTO 12x36 HORAS'!AL_1_A_SAL_BASE_12x36</vt:lpstr>
      <vt:lpstr>'POSTO 44 HORAS'!AL_1_A_SAL_BASE_44H</vt:lpstr>
      <vt:lpstr>'POSTO 12x36 HORAS'!AL_1_B_ADIC_PERIC_12x36</vt:lpstr>
      <vt:lpstr>'POSTO 44 HORAS'!AL_1_B_ADIC_PERIC_44H</vt:lpstr>
      <vt:lpstr>'POSTO 12x36 HORAS'!AL_1_C_ADIC_NOT_12x36</vt:lpstr>
      <vt:lpstr>'POSTO 12x36 HORAS'!AL_1_D_ADIC_NOT_RED_12x36</vt:lpstr>
      <vt:lpstr>'POSTO 12x36 HORAS'!AL_2_1_A_DEC_TERC_12x36</vt:lpstr>
      <vt:lpstr>'POSTO 44 HORAS'!AL_2_1_A_DEC_TERC_44H</vt:lpstr>
      <vt:lpstr>'POSTO 12x36 HORAS'!AL_2_1_B_ADIC_FERIAS_12x36</vt:lpstr>
      <vt:lpstr>'POSTO 44 HORAS'!AL_2_1_B_ADIC_FERIAS_44H</vt:lpstr>
      <vt:lpstr>'POSTO 12x36 HORAS'!AL_2_2_FGTS_12x36</vt:lpstr>
      <vt:lpstr>'POSTO 44 HORAS'!AL_2_2_FGTS_44H</vt:lpstr>
      <vt:lpstr>'POSTO 12x36 HORAS'!AL_2_3_A_TRANSP_12x36</vt:lpstr>
      <vt:lpstr>'POSTO 44 HORAS'!AL_2_3_A_TRANSP_44H</vt:lpstr>
      <vt:lpstr>'POSTO 12x36 HORAS'!AL_2_3_B_AUX_ALIMENT_12x36</vt:lpstr>
      <vt:lpstr>'POSTO 44 HORAS'!AL_2_3_B_AUX_ALIMENT_44H</vt:lpstr>
      <vt:lpstr>'POSTO 12x36 HORAS'!AL_2_3_C_OUTROS_BENEF_12x36</vt:lpstr>
      <vt:lpstr>'POSTO 44 HORAS'!AL_2_3_C_OUTROS_BENEF_44H</vt:lpstr>
      <vt:lpstr>'POSTO 12x36 HORAS'!AL_2_A_ATE_2_G_GPS_12x36</vt:lpstr>
      <vt:lpstr>'POSTO 44 HORAS'!AL_2_A_ATE_2_G_GPS_44H</vt:lpstr>
      <vt:lpstr>'POSTO 12x36 HORAS'!AL_6_A_CUSTOS_INDIRETOS_12x36</vt:lpstr>
      <vt:lpstr>'POSTO 44 HORAS'!AL_6_A_CUSTOS_INDIRETOS_44H</vt:lpstr>
      <vt:lpstr>'POSTO 12x36 HORAS'!AL_6_B_LUCRO_12x36</vt:lpstr>
      <vt:lpstr>'POSTO 44 HORAS'!AL_6_B_LUCRO_44H</vt:lpstr>
      <vt:lpstr>'POSTO 12x36 HORAS'!AL_6_C_1_PIS_12x36</vt:lpstr>
      <vt:lpstr>'POSTO 44 HORAS'!AL_6_C_1_PIS_44H</vt:lpstr>
      <vt:lpstr>'POSTO 12x36 HORAS'!AL_6_C_2_COFINS_12x36</vt:lpstr>
      <vt:lpstr>'POSTO 44 HORAS'!AL_6_C_2_COFINS_44H</vt:lpstr>
      <vt:lpstr>'POSTO 12x36 HORAS'!AL_6_C_3_ISS_12x36</vt:lpstr>
      <vt:lpstr>'POSTO 44 HORAS'!AL_6_C_3_ISS_44H</vt:lpstr>
      <vt:lpstr>'POSTO 12x36 HORAS'!AL_6_C_TRIBUTOS_12x36</vt:lpstr>
      <vt:lpstr>'POSTO 44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44 HORAS'!MOD_1_REMUNERACAO_44H</vt:lpstr>
      <vt:lpstr>'POSTO 12x36 HORAS'!MOD_3_PROVISAO_RESCISAO_12x36</vt:lpstr>
      <vt:lpstr>'POSTO 44 HORAS'!MOD_3_PROVISAO_RESCISAO_44H</vt:lpstr>
      <vt:lpstr>'POSTO 44 HORAS'!MOD_4_CUSTO_REPOSICAO_44H</vt:lpstr>
      <vt:lpstr>'POSTO 12x36 HORAS'!MOD_5_INSUMOS_12x36</vt:lpstr>
      <vt:lpstr>'POSTO 44 HORAS'!MOD_5_INSUMOS_44H</vt:lpstr>
      <vt:lpstr>'POSTO 12x36 HORAS'!MOD_6_CUSTOS_IND_LUCRO_TRIB_12x36</vt:lpstr>
      <vt:lpstr>'POSTO 44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44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44 HORAS'!PERC_TRIBUTOS</vt:lpstr>
      <vt:lpstr>'POSTO 12x36 HORAS'!QTDE_POSTOS</vt:lpstr>
      <vt:lpstr>'POSTO 44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44 HORAS'!SUBMOD_2_2_GPS_FGTS_44H</vt:lpstr>
      <vt:lpstr>'POSTO 12x36 HORAS'!SUBMOD_2_3_BENEFICIOS_12x36</vt:lpstr>
      <vt:lpstr>'POSTO 44 HORAS'!SUBMOD_2_3_BENEFICIOS_44H</vt:lpstr>
      <vt:lpstr>SUBMOD_2_4_INTERVALO_INTRAJORNADA_12X36</vt:lpstr>
      <vt:lpstr>'POSTO 12x36 HORAS'!SUBMOD_4_1_SUBSTITUTO_12x36</vt:lpstr>
      <vt:lpstr>'POSTO 44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44 HORAS'!VALOR_TOTAL_EMPREGADO_44H</vt:lpstr>
      <vt:lpstr>'POSTO 12x36 HORAS'!VALOR_TOTAL_POSTO_12x36</vt:lpstr>
      <vt:lpstr>'POSTO 44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Marciel Rubens da Silva</cp:lastModifiedBy>
  <cp:lastPrinted>2024-04-10T21:27:59Z</cp:lastPrinted>
  <dcterms:created xsi:type="dcterms:W3CDTF">2014-02-07T18:14:59Z</dcterms:created>
  <dcterms:modified xsi:type="dcterms:W3CDTF">2025-05-26T19:38:28Z</dcterms:modified>
</cp:coreProperties>
</file>