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7584" windowHeight="3660" tabRatio="899" activeTab="3"/>
  </bookViews>
  <sheets>
    <sheet name="INSERÇÃO-DE-DADOS" sheetId="11" r:id="rId1"/>
    <sheet name="DADOS-ESTATISTICOS" sheetId="15" r:id="rId2"/>
    <sheet name="ENCARGOS-SOCIAIS-E-TRABALHISTAS" sheetId="12" r:id="rId3"/>
    <sheet name="POSTO 12x36 HORAS OU 44 HORAS" sheetId="14" r:id="rId4"/>
  </sheets>
  <definedNames>
    <definedName name="ACORDO_COLETIVO">'INSERÇÃO-DE-DADOS'!$F$14</definedName>
    <definedName name="AL_1_A_SAL_BASE" localSheetId="3">'POSTO 12x36 HORAS OU 44 HORAS'!$F$22</definedName>
    <definedName name="AL_1_B_ADIC_PERIC" localSheetId="3">'POSTO 12x36 HORAS OU 44 HORAS'!$F$23</definedName>
    <definedName name="AL_1_C_ADIC_NOT" localSheetId="3">'POSTO 12x36 HORAS OU 44 HORAS'!$F$24</definedName>
    <definedName name="AL_1_D_ADIC_NOT_RED" localSheetId="3">'POSTO 12x36 HORAS OU 44 HORAS'!$F$25</definedName>
    <definedName name="AL_2_1_A_DEC_TERC" localSheetId="3">'POSTO 12x36 HORAS OU 44 HORAS'!$F$34</definedName>
    <definedName name="AL_2_1_B_ADIC_FERIAS" localSheetId="3">'POSTO 12x36 HORAS OU 44 HORAS'!$F$35</definedName>
    <definedName name="AL_2_2_FGTS" localSheetId="3">'POSTO 12x36 HORAS OU 44 HORAS'!$F$46</definedName>
    <definedName name="AL_2_3_A_TRANSP" localSheetId="3">'POSTO 12x36 HORAS OU 44 HORAS'!$F$50</definedName>
    <definedName name="AL_2_3_B_AUX_ALIMENT" localSheetId="3">'POSTO 12x36 HORAS OU 44 HORAS'!$F$51</definedName>
    <definedName name="AL_2_3_C_OUTROS_BENEF" localSheetId="3">'POSTO 12x36 HORAS OU 44 HORAS'!$F$52</definedName>
    <definedName name="AL_2_A_ATE_2_G_GPS" localSheetId="3">'POSTO 12x36 HORAS OU 44 HORAS'!$F$39:$F$45</definedName>
    <definedName name="AL_6_A_CUSTOS_INDIRETOS" localSheetId="3">'POSTO 12x36 HORAS OU 44 HORAS'!$F$88</definedName>
    <definedName name="AL_6_B_LUCRO" localSheetId="3">'POSTO 12x36 HORAS OU 44 HORAS'!$F$89</definedName>
    <definedName name="AL_6_C_1_PIS" localSheetId="3">'POSTO 12x36 HORAS OU 44 HORAS'!$F$91</definedName>
    <definedName name="AL_6_C_2_COFINS" localSheetId="3">'POSTO 12x36 HORAS OU 44 HORAS'!$F$92</definedName>
    <definedName name="AL_6_C_3_ISS" localSheetId="3">'POSTO 12x36 HORAS OU 44 HORAS'!$F$93</definedName>
    <definedName name="AL_6_C_TRIBUTOS" localSheetId="3">'POSTO 12x36 HORAS OU 44 HORAS'!$F$90</definedName>
    <definedName name="ALIMENTACAO_POR_DIA">'INSERÇÃO-DE-DADOS'!$F$42</definedName>
    <definedName name="CATEGORIA_PROFISSIONAL">'INSERÇÃO-DE-DADOS'!$D$23</definedName>
    <definedName name="CBO">'INSERÇÃO-DE-DADOS'!$D$22</definedName>
    <definedName name="DATA_APRESENTACAO_PROPOSTA">'INSERÇÃO-DE-DADOS'!$F$11</definedName>
    <definedName name="DATA_BASE_CATEGORIA">'INSERÇÃO-DE-DADOS'!$F$24</definedName>
    <definedName name="DATA_DO_ORCAMENTO_ESTIMATIVO">'INSERÇÃO-DE-DADOS'!$F$2</definedName>
    <definedName name="DATA_LICITACAO">'INSERÇÃO-DE-DADOS'!$D$8</definedName>
    <definedName name="DIAS_AUSENCIAS_LEGAIS">'DADOS-ESTATISTICOS'!$F$27</definedName>
    <definedName name="DIAS_LICENCA_MATERNIDADE">'DADOS-ESTATISTICOS'!$F$33</definedName>
    <definedName name="DIAS_LICENCA_PATERNIDADE">'DADOS-ESTATISTICOS'!$F$28</definedName>
    <definedName name="DIAS_NA_SEMANA">'DADOS-ESTATISTICOS'!$F$5</definedName>
    <definedName name="DIAS_NO_ANO">'DADOS-ESTATISTICOS'!$F$6</definedName>
    <definedName name="DIAS_NO_MES">'DADOS-ESTATISTICOS'!$F$22</definedName>
    <definedName name="DIAS_PAGOS_EMPRESA_ACID_TRAB">'DADOS-ESTATISTICOS'!$F$32</definedName>
    <definedName name="DIAS_TRABALHADOS_NO_MES">'INSERÇÃO-DE-DADOS'!$F$43</definedName>
    <definedName name="DIVISOR_DE_HORAS">'DADOS-ESTATISTICOS'!$F$4</definedName>
    <definedName name="EMPREG_POR_POSTO">'INSERÇÃO-DE-DADOS'!$E$19</definedName>
    <definedName name="EQUIPAMENTOS">'INSERÇÃO-DE-DADOS'!$F$62</definedName>
    <definedName name="HORA_NORMAL">'DADOS-ESTATISTICOS'!$F$9</definedName>
    <definedName name="HORA_NOTURNA">'DADOS-ESTATISTICOS'!$F$10</definedName>
    <definedName name="HORARIO_LICITACAO">'INSERÇÃO-DE-DADOS'!$F$8</definedName>
    <definedName name="LOCAL_DE_EXECUCAO">'INSERÇÃO-DE-DADOS'!$D$12</definedName>
    <definedName name="MATERIAIS">'INSERÇÃO-DE-DADOS'!$F$61</definedName>
    <definedName name="MEDIA_ANUAL_DIAS_TRABALHO_MES">'DADOS-ESTATISTICOS'!$F$7</definedName>
    <definedName name="MESES_NO_ANO">'DADOS-ESTATISTICOS'!$F$8</definedName>
    <definedName name="MOD_1_REMUNERACAO" localSheetId="3">'POSTO 12x36 HORAS OU 44 HORAS'!$F$30</definedName>
    <definedName name="MOD_2_ENCARGOS_BENEFICIOS" localSheetId="3">'POSTO 12x36 HORAS OU 44 HORAS'!$F$36+'POSTO 12x36 HORAS OU 44 HORAS'!$F$47+'POSTO 12x36 HORAS OU 44 HORAS'!$F$55</definedName>
    <definedName name="MOD_3_PROVISAO_RESCISAO" localSheetId="3">'POSTO 12x36 HORAS OU 44 HORAS'!$F$61</definedName>
    <definedName name="MOD_4_CUSTO_REPOSICAO" localSheetId="3">'POSTO 12x36 HORAS OU 44 HORAS'!$F$72+'POSTO 12x36 HORAS OU 44 HORAS'!$F$76</definedName>
    <definedName name="MOD_5_INSUMOS" localSheetId="3">'POSTO 12x36 HORAS OU 44 HORAS'!$F$84</definedName>
    <definedName name="MOD_6_CUSTOS_IND_LUCRO_TRIB" localSheetId="3">'POSTO 12x36 HORAS OU 44 HORAS'!$F$94</definedName>
    <definedName name="MODALIDADE_DE_LICITACAO">'INSERÇÃO-DE-DADOS'!$D$7</definedName>
    <definedName name="NUMERO_MESES_EXEC_CONTRATUAL">'INSERÇÃO-DE-DADOS'!$F$15</definedName>
    <definedName name="NUMERO_PREGAO">'INSERÇÃO-DE-DADOS'!$F$7</definedName>
    <definedName name="NUMERO_PROCESSO">'INSERÇÃO-DE-DADOS'!$D$6</definedName>
    <definedName name="OUTRAS_AUSENCIAS">'ENCARGOS-SOCIAIS-E-TRABALHISTAS'!$E$31</definedName>
    <definedName name="OUTRAS_AUSENCIAS_DESCRICAO">'INSERÇÃO-DE-DADOS'!$C$51</definedName>
    <definedName name="OUTROS_BENEFICIOS_1">'INSERÇÃO-DE-DADOS'!$F$44</definedName>
    <definedName name="OUTROS_BENEFICIOS_1_DESCRICAO">'INSERÇÃO-DE-DADOS'!$C$44</definedName>
    <definedName name="OUTROS_BENEFICIOS_2">'INSERÇÃO-DE-DADOS'!$F$45</definedName>
    <definedName name="OUTROS_BENEFICIOS_2_DESCRICAO">'INSERÇÃO-DE-DADOS'!$C$45</definedName>
    <definedName name="OUTROS_BENEFICIOS_3">'INSERÇÃO-DE-DADOS'!$F$46</definedName>
    <definedName name="OUTROS_BENEFICIOS_3_DESCRICAO">'INSERÇÃO-DE-DADOS'!$C$46</definedName>
    <definedName name="OUTROS_INSUMOS">'INSERÇÃO-DE-DADOS'!$F$63</definedName>
    <definedName name="OUTROS_INSUMOS_DESCRICAO">'INSERÇÃO-DE-DADOS'!$C$63</definedName>
    <definedName name="OUTROS_REMUNERACAO_1">'INSERÇÃO-DE-DADOS'!$F$34</definedName>
    <definedName name="OUTROS_REMUNERACAO_1_DESCRICAO">'INSERÇÃO-DE-DADOS'!$C$34</definedName>
    <definedName name="OUTROS_REMUNERACAO_2">'INSERÇÃO-DE-DADOS'!$F$35</definedName>
    <definedName name="OUTROS_REMUNERACAO_2_DESCRICAO">'INSERÇÃO-DE-DADOS'!$C$35:$E$35</definedName>
    <definedName name="OUTROS_REMUNERACAO_3">'INSERÇÃO-DE-DADOS'!$F$36</definedName>
    <definedName name="OUTROS_REMUNERACAO_3_DESCRICAO">'INSERÇÃO-DE-DADOS'!$C$36:$E$36</definedName>
    <definedName name="PERC_ADIC_FERIAS">'ENCARGOS-SOCIAIS-E-TRABALHISTAS'!$E$6</definedName>
    <definedName name="PERC_ADIC_INS">'INSERÇÃO-DE-DADOS'!$F$33</definedName>
    <definedName name="PERC_ADIC_NOT">'INSERÇÃO-DE-DADOS'!$F$32</definedName>
    <definedName name="PERC_ADIC_PERIC">'INSERÇÃO-DE-DADOS'!$F$31</definedName>
    <definedName name="PERC_AVISO_PREVIO_IND">'ENCARGOS-SOCIAIS-E-TRABALHISTAS'!$E$20</definedName>
    <definedName name="PERC_AVISO_PREVIO_TRAB">'ENCARGOS-SOCIAIS-E-TRABALHISTAS'!$E$21</definedName>
    <definedName name="PERC_COFINS">'INSERÇÃO-DE-DADOS'!$F$70</definedName>
    <definedName name="PERC_CONTRIB_SOCIAL">'DADOS-ESTATISTICOS'!#REF!</definedName>
    <definedName name="PERC_CUSTOS_INDIRETOS">'INSERÇÃO-DE-DADOS'!$F$67</definedName>
    <definedName name="PERC_DEC_TERC">'ENCARGOS-SOCIAIS-E-TRABALHISTAS'!$E$5</definedName>
    <definedName name="PERC_DESC_TRANSP_REMUNERACAO">'DADOS-ESTATISTICOS'!$F$14</definedName>
    <definedName name="PERC_EMPREG_AFAST_TRAB">'DADOS-ESTATISTICOS'!$F$31</definedName>
    <definedName name="PERC_EMPREG_AVISO_PREVIO_IND">'DADOS-ESTATISTICOS'!$F$19</definedName>
    <definedName name="PERC_EMPREG_AVISO_PREVIO_TRAB">'DADOS-ESTATISTICOS'!$F$21</definedName>
    <definedName name="PERC_EMPREG_DEMIT_SEM_JUSTA_CAUSA_TOTAL_DESLIG">'DADOS-ESTATISTICOS'!$F$18</definedName>
    <definedName name="PERC_FGTS">'ENCARGOS-SOCIAIS-E-TRABALHISTAS'!$E$16</definedName>
    <definedName name="PERC_FGTS_AVISO_PREV_IND">'ENCARGOS-SOCIAIS-E-TRABALHISTAS'!#REF!</definedName>
    <definedName name="PERC_GPS_FGTS">'ENCARGOS-SOCIAIS-E-TRABALHISTAS'!$E$17</definedName>
    <definedName name="PERC_GPS_FGTS_AVISO_PREVIO_TRAB">'ENCARGOS-SOCIAIS-E-TRABALHISTAS'!#REF!</definedName>
    <definedName name="PERC_HORA_EXTRA">'INSERÇÃO-DE-DADOS'!$F$55</definedName>
    <definedName name="PERC_INCRA">'ENCARGOS-SOCIAIS-E-TRABALHISTAS'!$E$15</definedName>
    <definedName name="PERC_INSS">'ENCARGOS-SOCIAIS-E-TRABALHISTAS'!$E$9</definedName>
    <definedName name="PERC_ISS">'INSERÇÃO-DE-DADOS'!$F$71</definedName>
    <definedName name="PERC_LUCRO">'INSERÇÃO-DE-DADOS'!$F$68</definedName>
    <definedName name="PERC_MOD_3_PROVISAO_RESCISAO" localSheetId="3">'POSTO 12x36 HORAS OU 44 HORAS'!$E$61</definedName>
    <definedName name="PERC_MULTA_FGTS">'DADOS-ESTATISTICOS'!$F$20</definedName>
    <definedName name="PERC_MULTA_FGTS_AV_PREV_IND">'ENCARGOS-SOCIAIS-E-TRABALHISTAS'!#REF!</definedName>
    <definedName name="PERC_MULTA_FGTS_AV_PREV_TRAB">'ENCARGOS-SOCIAIS-E-TRABALHISTAS'!$E$22</definedName>
    <definedName name="PERC_NASCIDOS_VIVOS_POPUL_FEM">'DADOS-ESTATISTICOS'!$F$29</definedName>
    <definedName name="PERC_PARTIC_FEM_VIGIL">'DADOS-ESTATISTICOS'!$F$34</definedName>
    <definedName name="PERC_PARTIC_MASC_VIGIL">'DADOS-ESTATISTICOS'!$F$30</definedName>
    <definedName name="PERC_PIS">'INSERÇÃO-DE-DADOS'!$F$69</definedName>
    <definedName name="PERC_RAT">'ENCARGOS-SOCIAIS-E-TRABALHISTAS'!$E$11</definedName>
    <definedName name="PERC_SAL_EDUCACAO">'ENCARGOS-SOCIAIS-E-TRABALHISTAS'!$E$10</definedName>
    <definedName name="PERC_SEBRAE">'ENCARGOS-SOCIAIS-E-TRABALHISTAS'!$E$14</definedName>
    <definedName name="PERC_SENAC">'ENCARGOS-SOCIAIS-E-TRABALHISTAS'!$E$13</definedName>
    <definedName name="PERC_SESC">'ENCARGOS-SOCIAIS-E-TRABALHISTAS'!$E$12</definedName>
    <definedName name="PERC_SUBSTITUTO_ACID_TRAB">'ENCARGOS-SOCIAIS-E-TRABALHISTAS'!$E$29</definedName>
    <definedName name="PERC_SUBSTITUTO_AFAST_MATERN">'ENCARGOS-SOCIAIS-E-TRABALHISTAS'!$E$30</definedName>
    <definedName name="PERC_SUBSTITUTO_AUSENCIAS_LEGAIS">'ENCARGOS-SOCIAIS-E-TRABALHISTAS'!$E$27</definedName>
    <definedName name="PERC_SUBSTITUTO_FERIAS">'ENCARGOS-SOCIAIS-E-TRABALHISTAS'!$E$26</definedName>
    <definedName name="PERC_SUBSTITUTO_LICENCA_PATERNIDADE">'ENCARGOS-SOCIAIS-E-TRABALHISTAS'!$E$28</definedName>
    <definedName name="PERC_SUBSTITUTO_OUTRAS_AUSENCIAS">'INSERÇÃO-DE-DADOS'!$F$51</definedName>
    <definedName name="PERC_TRIBUTOS" localSheetId="3">'POSTO 12x36 HORAS OU 44 HORAS'!$E$90</definedName>
    <definedName name="QTDE_POSTOS" localSheetId="3">'INSERÇÃO-DE-DADOS'!$F$19</definedName>
    <definedName name="RAMO">'INSERÇÃO-DE-DADOS'!$B$1</definedName>
    <definedName name="SAL_MINIMO">'INSERÇÃO-DE-DADOS'!$F$25</definedName>
    <definedName name="SALARIO_BASE">'INSERÇÃO-DE-DADOS'!$F$30</definedName>
    <definedName name="SUBMOD_2_1_DEC_TERC_ADIC_FERIAS" localSheetId="3">'POSTO 12x36 HORAS OU 44 HORAS'!$F$36</definedName>
    <definedName name="SUBMOD_2_2_GPS_FGTS" localSheetId="3">'POSTO 12x36 HORAS OU 44 HORAS'!$F$47</definedName>
    <definedName name="SUBMOD_2_3_BENEFICIOS" localSheetId="3">'POSTO 12x36 HORAS OU 44 HORAS'!$F$55</definedName>
    <definedName name="SUBMOD_4_1_SUBSTITUTO" localSheetId="3">'POSTO 12x36 HORAS OU 44 HORAS'!$F$72</definedName>
    <definedName name="SUBMOD_4_2_INTRAJORNADA" localSheetId="3">'POSTO 12x36 HORAS OU 44 HORAS'!$F$76</definedName>
    <definedName name="TEMPO_INTERVALO_REFEICAO">'INSERÇÃO-DE-DADOS'!$F$56</definedName>
    <definedName name="TIPO_DE_SERVICO">'INSERÇÃO-DE-DADOS'!$C$19</definedName>
    <definedName name="TRANSPORTE_POR_DIA">'INSERÇÃO-DE-DADOS'!$F$41</definedName>
    <definedName name="UG">'INSERÇÃO-DE-DADOS'!$B$2</definedName>
    <definedName name="UNIFORMES">'INSERÇÃO-DE-DADOS'!$F$60</definedName>
    <definedName name="VALOR_TOTAL_EMPREGADO" localSheetId="3">'POSTO 12x36 HORAS OU 44 HORAS'!$F$103</definedName>
    <definedName name="VALOR_TOTAL_POSTO" localSheetId="3">'POSTO 12x36 HORAS OU 44 HORAS'!$F$104</definedName>
  </definedNames>
  <calcPr calcId="152511" fullPrecision="0"/>
  <customWorkbookViews>
    <customWorkbookView name="teste" guid="{E22B0E03-E710-4313-B9E5-0BFE52A7E677}" maximized="1" xWindow="-8" yWindow="-8" windowWidth="1936" windowHeight="1056" tabRatio="899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0" i="14" l="1"/>
  <c r="E22" i="12" l="1"/>
  <c r="F39" i="15" l="1"/>
  <c r="F12" i="14" l="1"/>
  <c r="F31" i="15" l="1"/>
  <c r="F19" i="14" l="1"/>
  <c r="D16" i="14"/>
  <c r="D15" i="14"/>
  <c r="E14" i="14"/>
  <c r="D9" i="14"/>
  <c r="F2" i="14" l="1"/>
  <c r="E31" i="12" l="1"/>
  <c r="C31" i="12"/>
  <c r="F26" i="14" l="1"/>
  <c r="E93" i="14" l="1"/>
  <c r="E92" i="14"/>
  <c r="E91" i="14"/>
  <c r="E89" i="14"/>
  <c r="E88" i="14"/>
  <c r="F83" i="14"/>
  <c r="C83" i="14"/>
  <c r="F82" i="14"/>
  <c r="F81" i="14"/>
  <c r="F80" i="14"/>
  <c r="E71" i="14"/>
  <c r="C71" i="14"/>
  <c r="F54" i="14"/>
  <c r="C54" i="14"/>
  <c r="F53" i="14"/>
  <c r="C53" i="14"/>
  <c r="F52" i="14"/>
  <c r="C52" i="14"/>
  <c r="F51" i="14"/>
  <c r="E45" i="14"/>
  <c r="E44" i="14"/>
  <c r="E43" i="14"/>
  <c r="E42" i="14"/>
  <c r="E41" i="14"/>
  <c r="E40" i="14"/>
  <c r="E39" i="14"/>
  <c r="F29" i="14"/>
  <c r="C29" i="14"/>
  <c r="F28" i="14"/>
  <c r="C28" i="14"/>
  <c r="F27" i="14"/>
  <c r="C27" i="14"/>
  <c r="F23" i="14"/>
  <c r="F22" i="14"/>
  <c r="F17" i="14"/>
  <c r="F11" i="14"/>
  <c r="F10" i="14"/>
  <c r="F8" i="14"/>
  <c r="F6" i="14"/>
  <c r="D6" i="14"/>
  <c r="D5" i="14"/>
  <c r="B2" i="14"/>
  <c r="B1" i="14"/>
  <c r="E90" i="14" l="1"/>
  <c r="F55" i="14"/>
  <c r="F24" i="14"/>
  <c r="F84" i="14"/>
  <c r="F101" i="14" s="1"/>
  <c r="F25" i="14"/>
  <c r="F30" i="14" l="1"/>
  <c r="F97" i="14" l="1"/>
  <c r="E5" i="12" l="1"/>
  <c r="E6" i="12"/>
  <c r="E20" i="12"/>
  <c r="E21" i="12"/>
  <c r="E26" i="12"/>
  <c r="E27" i="12"/>
  <c r="E28" i="12"/>
  <c r="E29" i="12"/>
  <c r="E69" i="11"/>
  <c r="E70" i="11"/>
  <c r="E71" i="11"/>
  <c r="E69" i="14" l="1"/>
  <c r="E59" i="14"/>
  <c r="E67" i="14"/>
  <c r="E58" i="14"/>
  <c r="E68" i="14"/>
  <c r="E35" i="14"/>
  <c r="F35" i="14"/>
  <c r="E66" i="14"/>
  <c r="E34" i="14"/>
  <c r="F34" i="14"/>
  <c r="F36" i="14" l="1"/>
  <c r="F42" i="14" s="1"/>
  <c r="F40" i="14" l="1"/>
  <c r="F43" i="14"/>
  <c r="F44" i="14"/>
  <c r="F45" i="14"/>
  <c r="F39" i="14"/>
  <c r="F41" i="14"/>
  <c r="F75" i="14" l="1"/>
  <c r="F76" i="14" s="1"/>
  <c r="E46" i="14" l="1"/>
  <c r="F60" i="14"/>
  <c r="E17" i="12"/>
  <c r="F46" i="14"/>
  <c r="F47" i="14" s="1"/>
  <c r="E30" i="12" l="1"/>
  <c r="E70" i="14" s="1"/>
  <c r="F98" i="14"/>
  <c r="F59" i="14"/>
  <c r="F58" i="14"/>
  <c r="E60" i="14"/>
  <c r="F61" i="14" l="1"/>
  <c r="F99" i="14" s="1"/>
  <c r="F70" i="14" l="1"/>
  <c r="F71" i="14"/>
  <c r="F66" i="14"/>
  <c r="F69" i="14"/>
  <c r="F68" i="14"/>
  <c r="F67" i="14"/>
  <c r="F72" i="14" l="1"/>
  <c r="F100" i="14" s="1"/>
  <c r="F88" i="14" l="1"/>
  <c r="F89" i="14" s="1"/>
  <c r="F91" i="14" s="1"/>
  <c r="F93" i="14" l="1"/>
  <c r="F92" i="14"/>
  <c r="F90" i="14" l="1"/>
  <c r="F94" i="14" s="1"/>
  <c r="F102" i="14" s="1"/>
  <c r="F103" i="14" s="1"/>
  <c r="F104" i="14" s="1"/>
  <c r="F105" i="14" l="1"/>
  <c r="F38" i="15" l="1"/>
</calcChain>
</file>

<file path=xl/sharedStrings.xml><?xml version="1.0" encoding="utf-8"?>
<sst xmlns="http://schemas.openxmlformats.org/spreadsheetml/2006/main" count="425" uniqueCount="193">
  <si>
    <t>Insumos Diversos</t>
  </si>
  <si>
    <t>%</t>
  </si>
  <si>
    <t>A</t>
  </si>
  <si>
    <t>B</t>
  </si>
  <si>
    <t>C</t>
  </si>
  <si>
    <t>D</t>
  </si>
  <si>
    <t>E</t>
  </si>
  <si>
    <t>F</t>
  </si>
  <si>
    <t>MÓDULO 1: COMPOSIÇÃO DA REMUNERAÇÃO</t>
  </si>
  <si>
    <t>Composição da Remuneração</t>
  </si>
  <si>
    <t>G</t>
  </si>
  <si>
    <t>H</t>
  </si>
  <si>
    <t>I</t>
  </si>
  <si>
    <t>Valor (R$)</t>
  </si>
  <si>
    <t>Benefícios Mensais e Diários</t>
  </si>
  <si>
    <t>Transporte</t>
  </si>
  <si>
    <t>Uniformes</t>
  </si>
  <si>
    <t>Equipamentos</t>
  </si>
  <si>
    <t>Materiais</t>
  </si>
  <si>
    <t>Valor    (R$)</t>
  </si>
  <si>
    <t>4.1</t>
  </si>
  <si>
    <t>4.2</t>
  </si>
  <si>
    <t>Custos Indiretos, Tributos e Lucro</t>
  </si>
  <si>
    <t>Tributos</t>
  </si>
  <si>
    <t>PIS</t>
  </si>
  <si>
    <t>Cofins</t>
  </si>
  <si>
    <t>ISS</t>
  </si>
  <si>
    <t>Tipo de Serviço</t>
  </si>
  <si>
    <t>VALOR TOTAL POR POSTO</t>
  </si>
  <si>
    <t>Lucro</t>
  </si>
  <si>
    <t>Modalidade de Licitação nº (XX/AAAA)</t>
  </si>
  <si>
    <t>Pregão nº</t>
  </si>
  <si>
    <t>Local de Execução (Sede, Anexo I ou II, PTM, PRM)</t>
  </si>
  <si>
    <t>Acordo, Conv. ou Sentença Normativa em Dissídio Coletivo (MM/AAAA)</t>
  </si>
  <si>
    <t>Frequência</t>
  </si>
  <si>
    <t>Diária</t>
  </si>
  <si>
    <t>PLANILHA DE CUSTOS E FORMAÇÃO DE PREÇOS</t>
  </si>
  <si>
    <t>INSS</t>
  </si>
  <si>
    <t>INCRA</t>
  </si>
  <si>
    <t>Salário Educação</t>
  </si>
  <si>
    <t>FGTS</t>
  </si>
  <si>
    <t>SEBRAE</t>
  </si>
  <si>
    <t>TOTAL</t>
  </si>
  <si>
    <t>13º Salário</t>
  </si>
  <si>
    <t>Provisão para Rescisão</t>
  </si>
  <si>
    <t>Aviso Prévio Indenizado</t>
  </si>
  <si>
    <t>Aviso Prévio Trabalhado</t>
  </si>
  <si>
    <t>Custo de Reposição do Profissional Ausente</t>
  </si>
  <si>
    <t>EMPREGADOS POR POSTO</t>
  </si>
  <si>
    <t>QUADRO RESUMO - CUSTO POR EMPREGADO</t>
  </si>
  <si>
    <t>DATA:</t>
  </si>
  <si>
    <t>DISCRIMINAÇÃO DOS SERVIÇOS (DADOS REFERENTES À CONTRATAÇÃO)</t>
  </si>
  <si>
    <t>Classificação Brasileira de Ocupações (CBO)</t>
  </si>
  <si>
    <t>Tipo de Serviço (mesmo serviço com características distintas)</t>
  </si>
  <si>
    <t>Categoria Profissional (vinculada à execução contratual)</t>
  </si>
  <si>
    <t>Data-Base da Categoria (DD/MM/AAAA)</t>
  </si>
  <si>
    <t>Data de Apresentação da Proposta (DD/MM/AAAA)</t>
  </si>
  <si>
    <t>Número de Meses de Execução Contratual</t>
  </si>
  <si>
    <t>MÓDULO 2: ENCARGOS E BENEFÍCIOS ANUAIS, MENSAIS E DIÁRIOS</t>
  </si>
  <si>
    <t>2.1</t>
  </si>
  <si>
    <t>Submódulo 2.2 - Encargos Previdencários (GPS), Fundo de Garantia por Tempo de Serviço (FGTS) e Outras Contribuições</t>
  </si>
  <si>
    <t>2.2</t>
  </si>
  <si>
    <t>Auxílio-Refeição/Alimentação</t>
  </si>
  <si>
    <t>Submódulo 2.3 - Benefícios Mensais e Diários</t>
  </si>
  <si>
    <t>MÓDULO 3: PROVISÃO PARA RESCISÃO</t>
  </si>
  <si>
    <t>MÓDULO 4: CUSTO DE REPOSIÇÃO DO PROFISSIONAL AUSENTE</t>
  </si>
  <si>
    <t>Submódulo 4.2 - Intrajornada</t>
  </si>
  <si>
    <t>Intrajornada</t>
  </si>
  <si>
    <t>MÓDULO 6: CUSTOS INDIRETOS, TRIBUTOS E LUCRO</t>
  </si>
  <si>
    <t>MÓDULO 5: INSUMOS DIVERSOS</t>
  </si>
  <si>
    <t>Custos Indiretos</t>
  </si>
  <si>
    <t>C.1</t>
  </si>
  <si>
    <t>C.2</t>
  </si>
  <si>
    <t>C.3</t>
  </si>
  <si>
    <t>Adicional de Periculosidade (em %)</t>
  </si>
  <si>
    <t>Adicional Noturno</t>
  </si>
  <si>
    <t>Adicional Noturno (em %)</t>
  </si>
  <si>
    <t>Quantidade de Postos</t>
  </si>
  <si>
    <t>Outros (Especificar)</t>
  </si>
  <si>
    <t>Adicional de Hora Noturna Reduzida (em %)</t>
  </si>
  <si>
    <t>SESC</t>
  </si>
  <si>
    <t>SENAC</t>
  </si>
  <si>
    <t>Riscos Ambientas do Trabalho</t>
  </si>
  <si>
    <t>2.3</t>
  </si>
  <si>
    <t>Salário-Base (em R$)</t>
  </si>
  <si>
    <t>Salário-Base</t>
  </si>
  <si>
    <t>13º Salário e Adicional de Férias</t>
  </si>
  <si>
    <t>Adicional de Periculosidade</t>
  </si>
  <si>
    <t>Adicional de Férias</t>
  </si>
  <si>
    <t>Encargos Previdenciários (GPS), Fundo de Garantia por Tempo de Serviço (FGTS) e outras contribuições</t>
  </si>
  <si>
    <t>Dados referentes à licitação</t>
  </si>
  <si>
    <t>MÓD.</t>
  </si>
  <si>
    <t>Mão-de-obra vinculada à execução contratual (valor por empregado)</t>
  </si>
  <si>
    <t>Encargos e Benefícios Anuais, Mensais e Diários</t>
  </si>
  <si>
    <t>VALOR TOTAL DO EMPREGADO</t>
  </si>
  <si>
    <t>Submódulo 4.1 - Substituto nas Ausências Legais</t>
  </si>
  <si>
    <t>Substituto nas Ausências Legais</t>
  </si>
  <si>
    <t xml:space="preserve">Substituto na Cobertura de Férias 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</si>
  <si>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</si>
  <si>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</si>
  <si>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</si>
  <si>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Afastamento Maternidade</t>
  </si>
  <si>
    <t>Substituto na Cobertura de Intervalo para Repouso e Alimentação</t>
  </si>
  <si>
    <t>Submódulo 2.1 - 13º (décimo terceiro) Salário e Adicional de Férias</t>
  </si>
  <si>
    <t>Dados referentes à contratação</t>
  </si>
  <si>
    <t>Data / Horário</t>
  </si>
  <si>
    <t>Identificação do serviço</t>
  </si>
  <si>
    <t>Unidade de Medida</t>
  </si>
  <si>
    <t>Qtde Total a Contratar</t>
  </si>
  <si>
    <t>Mão de obra</t>
  </si>
  <si>
    <t>Dias no Ano</t>
  </si>
  <si>
    <t>Dias na Semana</t>
  </si>
  <si>
    <t>Hora Normal (em minutos)</t>
  </si>
  <si>
    <t>Hora Noturna (em minutos)</t>
  </si>
  <si>
    <t>Valor / %</t>
  </si>
  <si>
    <t>Valor (em R$)</t>
  </si>
  <si>
    <t>J</t>
  </si>
  <si>
    <t>Divisor de Horas (em horas)</t>
  </si>
  <si>
    <t xml:space="preserve">Meses no Ano </t>
  </si>
  <si>
    <t>Hora Extra (em %)</t>
  </si>
  <si>
    <t>Empregados que recebem aviso prévio indenizado (em %)</t>
  </si>
  <si>
    <t>Multa do FGTS (em %)</t>
  </si>
  <si>
    <t>Empregados que recebem aviso prévio trabalhado (em %)</t>
  </si>
  <si>
    <t>K</t>
  </si>
  <si>
    <t>L</t>
  </si>
  <si>
    <t>Dias de Ausências Legais</t>
  </si>
  <si>
    <t>Dias de Licença-Paternidade</t>
  </si>
  <si>
    <t>Nascidos Vivos / População Feminina (em %)</t>
  </si>
  <si>
    <t>Tempo de Intervalo para Refeição (em minutos)</t>
  </si>
  <si>
    <t>Empregados afastados por acidente de trabalho (em %)</t>
  </si>
  <si>
    <t>Dias de Licença-Maternidade</t>
  </si>
  <si>
    <t>Pessoas demitidas sem justa causa / Total de desligamentos (em %)</t>
  </si>
  <si>
    <t>Salário Mínimo vigente no país (em R$)</t>
  </si>
  <si>
    <t>Dias no mês</t>
  </si>
  <si>
    <t>Dias pagos pela empresa em acidentes de trabalho</t>
  </si>
  <si>
    <t>Mensal</t>
  </si>
  <si>
    <t>Média Anual de Dias Trabalhados no Mês</t>
  </si>
  <si>
    <t>Desconto Remuneração Transporte</t>
  </si>
  <si>
    <t>Unidade da Federação</t>
  </si>
  <si>
    <t>Item</t>
  </si>
  <si>
    <t>Outras Remunerações 1 (Especificar)</t>
  </si>
  <si>
    <t>Outras Remunerações 2 (Especificar)</t>
  </si>
  <si>
    <t>Outras Remunerações 3 (Especificar)</t>
  </si>
  <si>
    <t>Outros Benefícios 1 (Especificar)</t>
  </si>
  <si>
    <t>Outros Benefícios 2 (Especificar)</t>
  </si>
  <si>
    <t>Outros Benefícios 3 (Especificar)</t>
  </si>
  <si>
    <t>XX/XX/20XX</t>
  </si>
  <si>
    <t>XX/20XX</t>
  </si>
  <si>
    <t>HH:MM</t>
  </si>
  <si>
    <t>Outras Ausências (Especificar - em %)</t>
  </si>
  <si>
    <t>OBSERVAÇÃO</t>
  </si>
  <si>
    <t>CUSTOS POR EMPREGADO</t>
  </si>
  <si>
    <t>Adicional de Insalubridade (em %)</t>
  </si>
  <si>
    <t>Adicional de Insalubridade</t>
  </si>
  <si>
    <t>Dias Trabalhados no mês (15 dias intercalados ou 22 dias úteis)</t>
  </si>
  <si>
    <t>VALOR TOTAL DA CATEGORIA</t>
  </si>
  <si>
    <t>CUSTOS REFERENTES AO POSTO</t>
  </si>
  <si>
    <t>CUSTOS REFERENTES AOS SERVIÇOS CONTRATADOS</t>
  </si>
  <si>
    <t>Empregados por Posto</t>
  </si>
  <si>
    <t>DADOS ESTATÍSTICOS</t>
  </si>
  <si>
    <t>ENCARGOS SOCIAIS E TRABALHISTAS</t>
  </si>
  <si>
    <t>Memória de Cálculo</t>
  </si>
  <si>
    <t>(1/12) x 100</t>
  </si>
  <si>
    <t>[(1/3)/12] x 100</t>
  </si>
  <si>
    <t>[(62,93%) x 5,55% x (1/12)] x 100</t>
  </si>
  <si>
    <t xml:space="preserve">(1/12) x 100 </t>
  </si>
  <si>
    <t>[(8/30)/12] x 100</t>
  </si>
  <si>
    <t>[(15/30)/12] x 0,44%} x 100</t>
  </si>
  <si>
    <t>[(62,93%) x 94,45% x (7/30)/12] x 100</t>
  </si>
  <si>
    <t>Participação Masculina(em %)</t>
  </si>
  <si>
    <t>Participação Feminina (em %)</t>
  </si>
  <si>
    <t>{[(20/30)/12] x 1,416% x 45,22%} x 100</t>
  </si>
  <si>
    <t>{[(180/30)/12] x 1,416% x 54,78% x 36,80%} x 100</t>
  </si>
  <si>
    <t>% / Minutos</t>
  </si>
  <si>
    <t>Para mais informações, consulte o Referencial Técnico de Custos, constante da aba PUBLICAÇÕES, na página da Auditoria Interna do MPU na internet (www.auditoria.mpu.mp.br).</t>
  </si>
  <si>
    <t>Nº do Processo</t>
  </si>
  <si>
    <t>Modalidade de Licitação</t>
  </si>
  <si>
    <t>Substituto na Intrajornada</t>
  </si>
  <si>
    <t>Submódulo 4.2 - Substituto na Intrajornada</t>
  </si>
  <si>
    <t>Dias / Horas / Minutos</t>
  </si>
  <si>
    <t>Dias / %</t>
  </si>
  <si>
    <t>Minutos / %</t>
  </si>
  <si>
    <t>1,16% x 40%  x 8,00% x 100</t>
  </si>
  <si>
    <t>Multa do FGTS sobre o Aviso Prévio Trabalhado</t>
  </si>
  <si>
    <t>Nº do Processo (19.00.1500.0005776/2022-42)</t>
  </si>
  <si>
    <t>CNMP</t>
  </si>
  <si>
    <t>DF</t>
  </si>
  <si>
    <t>01/2022</t>
  </si>
  <si>
    <t>Fotógrafo residente</t>
  </si>
  <si>
    <t>posto</t>
  </si>
  <si>
    <t>RAMO: CONSELHO NACIONAL DO MINISTÉRIO PÚBLICO</t>
  </si>
  <si>
    <t>19.00.1500.0005776/2022-42</t>
  </si>
  <si>
    <t>UNIDADE GESTORA (SIGLA):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</si>
</sst>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\-#,##0.00\ "/>
    <numFmt numFmtId="165" formatCode="#,##0.0"/>
  </numFmts>
  <fonts count="35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name val="Segoe UI Light"/>
      <family val="2"/>
    </font>
    <font>
      <sz val="14"/>
      <name val="Segoe UI Light"/>
      <family val="2"/>
    </font>
    <font>
      <sz val="8"/>
      <name val="Segoe UI Light"/>
      <family val="2"/>
    </font>
    <font>
      <b/>
      <sz val="11"/>
      <name val="Segoe UI Light"/>
      <family val="2"/>
    </font>
    <font>
      <b/>
      <sz val="16"/>
      <name val="Segoe UI Light"/>
      <family val="2"/>
    </font>
    <font>
      <i/>
      <sz val="10"/>
      <name val="Segoe UI Light"/>
      <family val="2"/>
    </font>
    <font>
      <b/>
      <sz val="11"/>
      <color theme="0"/>
      <name val="Segoe UI Light"/>
      <family val="2"/>
    </font>
    <font>
      <sz val="11"/>
      <color rgb="FFFF0000"/>
      <name val="Segoe UI Light"/>
      <family val="2"/>
    </font>
    <font>
      <b/>
      <sz val="16"/>
      <color theme="5" tint="-0.499984740745262"/>
      <name val="Segoe UI Light"/>
      <family val="2"/>
    </font>
    <font>
      <sz val="11"/>
      <color theme="5" tint="-0.249977111117893"/>
      <name val="Segoe UI Light"/>
      <family val="2"/>
    </font>
    <font>
      <i/>
      <sz val="10"/>
      <color theme="0"/>
      <name val="Segoe UI Light"/>
      <family val="2"/>
    </font>
    <font>
      <b/>
      <sz val="14"/>
      <color theme="5" tint="-0.249977111117893"/>
      <name val="Segoe UI Light"/>
      <family val="2"/>
    </font>
    <font>
      <b/>
      <sz val="11"/>
      <color theme="5" tint="-0.499984740745262"/>
      <name val="Segoe UI Light"/>
      <family val="2"/>
    </font>
    <font>
      <b/>
      <sz val="14"/>
      <color theme="5" tint="-0.499984740745262"/>
      <name val="Segoe UI Light"/>
      <family val="2"/>
    </font>
    <font>
      <b/>
      <sz val="12"/>
      <color theme="5" tint="-0.499984740745262"/>
      <name val="Segoe UI Light"/>
      <family val="2"/>
    </font>
    <font>
      <b/>
      <sz val="20"/>
      <color theme="5" tint="-0.249977111117893"/>
      <name val="Segoe UI Light"/>
      <family val="2"/>
    </font>
  </fonts>
  <fills count="3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D55816"/>
        <bgColor indexed="64"/>
      </patternFill>
    </fill>
    <fill>
      <patternFill patternType="solid">
        <fgColor rgb="FFD55816"/>
        <bgColor indexed="4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26"/>
      </patternFill>
    </fill>
    <fill>
      <patternFill patternType="solid">
        <fgColor theme="9" tint="0.79998168889431442"/>
        <bgColor indexed="26"/>
      </patternFill>
    </fill>
    <fill>
      <patternFill patternType="solid">
        <fgColor theme="9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D55816"/>
        <bgColor indexed="3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6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7" fillId="7" borderId="1" applyNumberFormat="0" applyAlignment="0" applyProtection="0"/>
    <xf numFmtId="0" fontId="8" fillId="3" borderId="0" applyNumberFormat="0" applyBorder="0" applyAlignment="0" applyProtection="0"/>
    <xf numFmtId="0" fontId="9" fillId="22" borderId="0" applyNumberFormat="0" applyBorder="0" applyAlignment="0" applyProtection="0"/>
    <xf numFmtId="0" fontId="18" fillId="23" borderId="4" applyNumberFormat="0" applyAlignment="0" applyProtection="0"/>
    <xf numFmtId="0" fontId="10" fillId="16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</cellStyleXfs>
  <cellXfs count="189">
    <xf numFmtId="0" fontId="0" fillId="0" borderId="0" xfId="0"/>
    <xf numFmtId="0" fontId="25" fillId="27" borderId="10" xfId="0" applyFont="1" applyFill="1" applyBorder="1" applyAlignment="1">
      <alignment horizontal="center" vertical="center"/>
    </xf>
    <xf numFmtId="0" fontId="25" fillId="27" borderId="10" xfId="0" applyFont="1" applyFill="1" applyBorder="1" applyAlignment="1">
      <alignment horizontal="center" vertical="center" wrapText="1"/>
    </xf>
    <xf numFmtId="0" fontId="25" fillId="28" borderId="10" xfId="0" applyFont="1" applyFill="1" applyBorder="1" applyAlignment="1">
      <alignment horizontal="center" vertical="center" wrapText="1"/>
    </xf>
    <xf numFmtId="4" fontId="19" fillId="29" borderId="10" xfId="0" applyNumberFormat="1" applyFont="1" applyFill="1" applyBorder="1" applyAlignment="1">
      <alignment horizontal="right" vertical="center" wrapText="1"/>
    </xf>
    <xf numFmtId="0" fontId="22" fillId="24" borderId="0" xfId="0" applyFont="1" applyFill="1"/>
    <xf numFmtId="0" fontId="22" fillId="25" borderId="0" xfId="0" applyFont="1" applyFill="1" applyAlignment="1">
      <alignment horizontal="left" vertical="center" wrapText="1"/>
    </xf>
    <xf numFmtId="0" fontId="19" fillId="25" borderId="0" xfId="0" applyFont="1" applyFill="1"/>
    <xf numFmtId="39" fontId="19" fillId="25" borderId="0" xfId="0" applyNumberFormat="1" applyFont="1" applyFill="1" applyAlignment="1">
      <alignment horizontal="right"/>
    </xf>
    <xf numFmtId="0" fontId="19" fillId="25" borderId="0" xfId="0" applyFont="1" applyFill="1" applyAlignment="1">
      <alignment horizontal="left" vertical="center" wrapText="1"/>
    </xf>
    <xf numFmtId="0" fontId="23" fillId="25" borderId="0" xfId="0" applyFont="1" applyFill="1" applyAlignment="1">
      <alignment horizontal="left" vertical="center"/>
    </xf>
    <xf numFmtId="0" fontId="19" fillId="25" borderId="0" xfId="0" applyFont="1" applyFill="1" applyAlignment="1">
      <alignment horizontal="center"/>
    </xf>
    <xf numFmtId="0" fontId="19" fillId="26" borderId="0" xfId="0" applyFont="1" applyFill="1"/>
    <xf numFmtId="39" fontId="22" fillId="25" borderId="0" xfId="0" applyNumberFormat="1" applyFont="1" applyFill="1" applyAlignment="1">
      <alignment horizontal="center" vertical="center" wrapText="1"/>
    </xf>
    <xf numFmtId="39" fontId="19" fillId="25" borderId="0" xfId="0" applyNumberFormat="1" applyFont="1" applyFill="1" applyAlignment="1">
      <alignment horizontal="center"/>
    </xf>
    <xf numFmtId="0" fontId="22" fillId="25" borderId="0" xfId="0" applyFont="1" applyFill="1" applyAlignment="1">
      <alignment horizontal="center" vertical="center" wrapText="1"/>
    </xf>
    <xf numFmtId="39" fontId="19" fillId="25" borderId="0" xfId="0" applyNumberFormat="1" applyFont="1" applyFill="1" applyAlignment="1">
      <alignment horizontal="center" vertical="center" wrapText="1"/>
    </xf>
    <xf numFmtId="49" fontId="19" fillId="30" borderId="10" xfId="0" applyNumberFormat="1" applyFont="1" applyFill="1" applyBorder="1" applyAlignment="1" applyProtection="1">
      <alignment horizontal="center"/>
      <protection locked="0"/>
    </xf>
    <xf numFmtId="0" fontId="25" fillId="27" borderId="10" xfId="0" applyFont="1" applyFill="1" applyBorder="1" applyAlignment="1">
      <alignment horizontal="center"/>
    </xf>
    <xf numFmtId="14" fontId="19" fillId="30" borderId="10" xfId="0" applyNumberFormat="1" applyFont="1" applyFill="1" applyBorder="1" applyAlignment="1" applyProtection="1">
      <alignment horizontal="center"/>
      <protection locked="0"/>
    </xf>
    <xf numFmtId="0" fontId="19" fillId="29" borderId="10" xfId="0" applyFont="1" applyFill="1" applyBorder="1"/>
    <xf numFmtId="0" fontId="25" fillId="25" borderId="0" xfId="0" applyFont="1" applyFill="1" applyAlignment="1">
      <alignment horizontal="center"/>
    </xf>
    <xf numFmtId="0" fontId="19" fillId="25" borderId="0" xfId="0" applyFont="1" applyFill="1" applyAlignment="1">
      <alignment horizontal="left"/>
    </xf>
    <xf numFmtId="0" fontId="19" fillId="29" borderId="10" xfId="0" applyFont="1" applyFill="1" applyBorder="1" applyAlignment="1">
      <alignment horizontal="center"/>
    </xf>
    <xf numFmtId="0" fontId="29" fillId="27" borderId="10" xfId="0" applyFont="1" applyFill="1" applyBorder="1" applyAlignment="1">
      <alignment horizontal="center" vertical="center" wrapText="1"/>
    </xf>
    <xf numFmtId="39" fontId="24" fillId="29" borderId="10" xfId="0" applyNumberFormat="1" applyFont="1" applyFill="1" applyBorder="1" applyAlignment="1">
      <alignment horizontal="center" vertical="center" wrapText="1"/>
    </xf>
    <xf numFmtId="39" fontId="19" fillId="33" borderId="10" xfId="0" applyNumberFormat="1" applyFont="1" applyFill="1" applyBorder="1" applyAlignment="1" applyProtection="1">
      <alignment horizontal="right" vertical="center" wrapText="1"/>
      <protection locked="0"/>
    </xf>
    <xf numFmtId="0" fontId="30" fillId="25" borderId="0" xfId="0" applyFont="1" applyFill="1" applyAlignment="1">
      <alignment horizontal="left" vertical="center"/>
    </xf>
    <xf numFmtId="0" fontId="28" fillId="25" borderId="0" xfId="0" applyFont="1" applyFill="1" applyAlignment="1">
      <alignment horizontal="left" vertical="center" wrapText="1"/>
    </xf>
    <xf numFmtId="39" fontId="28" fillId="25" borderId="0" xfId="0" applyNumberFormat="1" applyFont="1" applyFill="1" applyAlignment="1">
      <alignment horizontal="center" vertical="center" wrapText="1"/>
    </xf>
    <xf numFmtId="39" fontId="19" fillId="29" borderId="10" xfId="0" applyNumberFormat="1" applyFont="1" applyFill="1" applyBorder="1" applyAlignment="1">
      <alignment horizontal="right" vertical="center" wrapText="1"/>
    </xf>
    <xf numFmtId="39" fontId="25" fillId="27" borderId="10" xfId="0" applyNumberFormat="1" applyFont="1" applyFill="1" applyBorder="1" applyAlignment="1">
      <alignment horizontal="right" vertical="center" wrapText="1"/>
    </xf>
    <xf numFmtId="2" fontId="19" fillId="29" borderId="10" xfId="0" applyNumberFormat="1" applyFont="1" applyFill="1" applyBorder="1" applyAlignment="1">
      <alignment horizontal="center" vertical="center"/>
    </xf>
    <xf numFmtId="2" fontId="25" fillId="27" borderId="10" xfId="0" applyNumberFormat="1" applyFont="1" applyFill="1" applyBorder="1" applyAlignment="1">
      <alignment horizontal="center" vertical="center"/>
    </xf>
    <xf numFmtId="4" fontId="25" fillId="34" borderId="10" xfId="0" applyNumberFormat="1" applyFont="1" applyFill="1" applyBorder="1" applyAlignment="1">
      <alignment horizontal="right" vertical="center" wrapText="1"/>
    </xf>
    <xf numFmtId="4" fontId="25" fillId="27" borderId="10" xfId="0" applyNumberFormat="1" applyFont="1" applyFill="1" applyBorder="1" applyAlignment="1">
      <alignment horizontal="right"/>
    </xf>
    <xf numFmtId="4" fontId="25" fillId="27" borderId="10" xfId="0" applyNumberFormat="1" applyFont="1" applyFill="1" applyBorder="1" applyAlignment="1">
      <alignment horizontal="right" vertical="center"/>
    </xf>
    <xf numFmtId="4" fontId="25" fillId="34" borderId="11" xfId="0" applyNumberFormat="1" applyFont="1" applyFill="1" applyBorder="1" applyAlignment="1">
      <alignment horizontal="right" vertical="center" wrapText="1"/>
    </xf>
    <xf numFmtId="0" fontId="25" fillId="27" borderId="11" xfId="0" applyFont="1" applyFill="1" applyBorder="1" applyAlignment="1">
      <alignment horizontal="center"/>
    </xf>
    <xf numFmtId="2" fontId="19" fillId="29" borderId="10" xfId="0" applyNumberFormat="1" applyFont="1" applyFill="1" applyBorder="1" applyAlignment="1">
      <alignment horizontal="center" vertical="center" wrapText="1"/>
    </xf>
    <xf numFmtId="39" fontId="19" fillId="29" borderId="11" xfId="0" applyNumberFormat="1" applyFont="1" applyFill="1" applyBorder="1" applyAlignment="1">
      <alignment horizontal="right" vertical="center" wrapText="1"/>
    </xf>
    <xf numFmtId="39" fontId="19" fillId="29" borderId="10" xfId="0" applyNumberFormat="1" applyFont="1" applyFill="1" applyBorder="1" applyAlignment="1">
      <alignment horizontal="center" vertical="center" wrapText="1"/>
    </xf>
    <xf numFmtId="0" fontId="25" fillId="27" borderId="11" xfId="0" applyFont="1" applyFill="1" applyBorder="1" applyAlignment="1">
      <alignment horizontal="center" vertical="center"/>
    </xf>
    <xf numFmtId="0" fontId="25" fillId="28" borderId="11" xfId="0" applyFont="1" applyFill="1" applyBorder="1" applyAlignment="1">
      <alignment horizontal="center" vertical="center" wrapText="1"/>
    </xf>
    <xf numFmtId="0" fontId="31" fillId="25" borderId="0" xfId="0" applyFont="1" applyFill="1" applyAlignment="1">
      <alignment horizontal="left"/>
    </xf>
    <xf numFmtId="0" fontId="32" fillId="25" borderId="0" xfId="0" applyFont="1" applyFill="1" applyAlignment="1">
      <alignment horizontal="left" vertical="center"/>
    </xf>
    <xf numFmtId="164" fontId="19" fillId="29" borderId="10" xfId="0" applyNumberFormat="1" applyFont="1" applyFill="1" applyBorder="1" applyAlignment="1">
      <alignment horizontal="center" vertical="center" wrapText="1"/>
    </xf>
    <xf numFmtId="4" fontId="19" fillId="35" borderId="10" xfId="0" applyNumberFormat="1" applyFont="1" applyFill="1" applyBorder="1" applyAlignment="1">
      <alignment horizontal="right" vertical="center" wrapText="1"/>
    </xf>
    <xf numFmtId="39" fontId="19" fillId="35" borderId="10" xfId="0" applyNumberFormat="1" applyFont="1" applyFill="1" applyBorder="1" applyAlignment="1">
      <alignment horizontal="right" vertical="center" wrapText="1"/>
    </xf>
    <xf numFmtId="2" fontId="19" fillId="35" borderId="10" xfId="0" applyNumberFormat="1" applyFont="1" applyFill="1" applyBorder="1" applyAlignment="1">
      <alignment horizontal="center" vertical="center" wrapText="1"/>
    </xf>
    <xf numFmtId="39" fontId="19" fillId="35" borderId="11" xfId="0" applyNumberFormat="1" applyFont="1" applyFill="1" applyBorder="1" applyAlignment="1">
      <alignment horizontal="right" vertical="center" wrapText="1"/>
    </xf>
    <xf numFmtId="39" fontId="19" fillId="35" borderId="10" xfId="0" applyNumberFormat="1" applyFont="1" applyFill="1" applyBorder="1" applyAlignment="1">
      <alignment horizontal="center" vertical="center" wrapText="1"/>
    </xf>
    <xf numFmtId="39" fontId="24" fillId="35" borderId="10" xfId="0" applyNumberFormat="1" applyFont="1" applyFill="1" applyBorder="1" applyAlignment="1">
      <alignment horizontal="center" vertical="center" wrapText="1"/>
    </xf>
    <xf numFmtId="39" fontId="24" fillId="29" borderId="10" xfId="0" applyNumberFormat="1" applyFont="1" applyFill="1" applyBorder="1" applyAlignment="1">
      <alignment horizontal="right" vertical="center" wrapText="1"/>
    </xf>
    <xf numFmtId="39" fontId="24" fillId="35" borderId="10" xfId="0" applyNumberFormat="1" applyFont="1" applyFill="1" applyBorder="1" applyAlignment="1">
      <alignment horizontal="right" vertical="center" wrapText="1"/>
    </xf>
    <xf numFmtId="0" fontId="19" fillId="35" borderId="10" xfId="0" applyFont="1" applyFill="1" applyBorder="1" applyAlignment="1">
      <alignment horizontal="center"/>
    </xf>
    <xf numFmtId="0" fontId="25" fillId="27" borderId="13" xfId="0" applyFont="1" applyFill="1" applyBorder="1" applyAlignment="1">
      <alignment horizontal="center" vertical="center" wrapText="1"/>
    </xf>
    <xf numFmtId="0" fontId="19" fillId="31" borderId="10" xfId="0" applyFont="1" applyFill="1" applyBorder="1" applyAlignment="1">
      <alignment horizontal="justify" vertical="center" wrapText="1"/>
    </xf>
    <xf numFmtId="4" fontId="19" fillId="30" borderId="10" xfId="0" applyNumberFormat="1" applyFont="1" applyFill="1" applyBorder="1" applyAlignment="1" applyProtection="1">
      <alignment horizontal="right"/>
      <protection locked="0"/>
    </xf>
    <xf numFmtId="0" fontId="19" fillId="30" borderId="10" xfId="0" applyFont="1" applyFill="1" applyBorder="1" applyAlignment="1" applyProtection="1">
      <alignment horizontal="center" vertical="center"/>
      <protection locked="0"/>
    </xf>
    <xf numFmtId="3" fontId="19" fillId="29" borderId="10" xfId="0" applyNumberFormat="1" applyFont="1" applyFill="1" applyBorder="1" applyAlignment="1">
      <alignment horizontal="right" vertical="center" wrapText="1"/>
    </xf>
    <xf numFmtId="165" fontId="19" fillId="29" borderId="10" xfId="0" applyNumberFormat="1" applyFont="1" applyFill="1" applyBorder="1" applyAlignment="1">
      <alignment horizontal="right" vertical="center" wrapText="1"/>
    </xf>
    <xf numFmtId="3" fontId="19" fillId="35" borderId="10" xfId="0" applyNumberFormat="1" applyFont="1" applyFill="1" applyBorder="1" applyAlignment="1">
      <alignment horizontal="right" vertical="center" wrapText="1"/>
    </xf>
    <xf numFmtId="165" fontId="19" fillId="35" borderId="10" xfId="0" applyNumberFormat="1" applyFont="1" applyFill="1" applyBorder="1" applyAlignment="1">
      <alignment horizontal="right" vertical="center" wrapText="1"/>
    </xf>
    <xf numFmtId="37" fontId="19" fillId="35" borderId="10" xfId="0" applyNumberFormat="1" applyFont="1" applyFill="1" applyBorder="1" applyAlignment="1">
      <alignment horizontal="right" vertical="center" wrapText="1"/>
    </xf>
    <xf numFmtId="37" fontId="19" fillId="29" borderId="10" xfId="0" applyNumberFormat="1" applyFont="1" applyFill="1" applyBorder="1" applyAlignment="1">
      <alignment horizontal="right" vertical="center" wrapText="1"/>
    </xf>
    <xf numFmtId="4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9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9" fontId="19" fillId="32" borderId="11" xfId="0" applyNumberFormat="1" applyFont="1" applyFill="1" applyBorder="1" applyAlignment="1" applyProtection="1">
      <alignment horizontal="right" vertical="center" wrapText="1"/>
      <protection locked="0"/>
    </xf>
    <xf numFmtId="37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0" fontId="20" fillId="30" borderId="13" xfId="0" applyFont="1" applyFill="1" applyBorder="1" applyProtection="1">
      <protection locked="0"/>
    </xf>
    <xf numFmtId="39" fontId="19" fillId="32" borderId="10" xfId="0" applyNumberFormat="1" applyFont="1" applyFill="1" applyBorder="1" applyAlignment="1" applyProtection="1">
      <alignment horizontal="center" vertical="center" wrapText="1"/>
      <protection locked="0"/>
    </xf>
    <xf numFmtId="0" fontId="25" fillId="27" borderId="13" xfId="0" applyFont="1" applyFill="1" applyBorder="1" applyAlignment="1">
      <alignment horizontal="center" vertical="center"/>
    </xf>
    <xf numFmtId="0" fontId="25" fillId="27" borderId="12" xfId="0" applyFont="1" applyFill="1" applyBorder="1" applyAlignment="1">
      <alignment horizontal="center" vertical="center"/>
    </xf>
    <xf numFmtId="0" fontId="19" fillId="30" borderId="13" xfId="0" applyFont="1" applyFill="1" applyBorder="1" applyAlignment="1" applyProtection="1">
      <alignment horizontal="center" vertical="center" wrapText="1"/>
      <protection locked="0"/>
    </xf>
    <xf numFmtId="0" fontId="19" fillId="29" borderId="10" xfId="0" applyFont="1" applyFill="1" applyBorder="1" applyAlignment="1">
      <alignment horizontal="left" vertical="center" wrapText="1"/>
    </xf>
    <xf numFmtId="14" fontId="20" fillId="31" borderId="13" xfId="0" applyNumberFormat="1" applyFont="1" applyFill="1" applyBorder="1" applyAlignment="1">
      <alignment horizontal="right"/>
    </xf>
    <xf numFmtId="14" fontId="20" fillId="31" borderId="13" xfId="0" applyNumberFormat="1" applyFont="1" applyFill="1" applyBorder="1"/>
    <xf numFmtId="0" fontId="21" fillId="26" borderId="0" xfId="0" applyFont="1" applyFill="1"/>
    <xf numFmtId="14" fontId="19" fillId="36" borderId="10" xfId="0" applyNumberFormat="1" applyFont="1" applyFill="1" applyBorder="1" applyAlignment="1">
      <alignment horizontal="center"/>
    </xf>
    <xf numFmtId="2" fontId="19" fillId="36" borderId="10" xfId="0" applyNumberFormat="1" applyFont="1" applyFill="1" applyBorder="1" applyAlignment="1">
      <alignment horizontal="center"/>
    </xf>
    <xf numFmtId="0" fontId="27" fillId="25" borderId="0" xfId="0" applyFont="1" applyFill="1" applyAlignment="1">
      <alignment vertical="center"/>
    </xf>
    <xf numFmtId="0" fontId="19" fillId="25" borderId="0" xfId="0" applyFont="1" applyFill="1" applyAlignment="1">
      <alignment vertical="top"/>
    </xf>
    <xf numFmtId="0" fontId="21" fillId="26" borderId="0" xfId="0" applyFont="1" applyFill="1" applyAlignment="1">
      <alignment vertical="top"/>
    </xf>
    <xf numFmtId="0" fontId="28" fillId="25" borderId="0" xfId="0" applyFont="1" applyFill="1"/>
    <xf numFmtId="0" fontId="26" fillId="25" borderId="0" xfId="0" applyFont="1" applyFill="1"/>
    <xf numFmtId="0" fontId="26" fillId="25" borderId="0" xfId="0" applyFont="1" applyFill="1" applyAlignment="1">
      <alignment wrapText="1"/>
    </xf>
    <xf numFmtId="0" fontId="26" fillId="25" borderId="0" xfId="0" applyFont="1" applyFill="1" applyAlignment="1">
      <alignment horizontal="center" wrapText="1"/>
    </xf>
    <xf numFmtId="0" fontId="19" fillId="25" borderId="0" xfId="0" applyFont="1" applyFill="1" applyAlignment="1">
      <alignment wrapText="1"/>
    </xf>
    <xf numFmtId="37" fontId="19" fillId="35" borderId="10" xfId="0" applyNumberFormat="1" applyFont="1" applyFill="1" applyBorder="1" applyAlignment="1">
      <alignment horizontal="center"/>
    </xf>
    <xf numFmtId="0" fontId="22" fillId="24" borderId="0" xfId="0" applyFont="1" applyFill="1" applyAlignment="1">
      <alignment horizontal="left"/>
    </xf>
    <xf numFmtId="49" fontId="19" fillId="24" borderId="0" xfId="0" applyNumberFormat="1" applyFont="1" applyFill="1" applyAlignment="1">
      <alignment horizontal="center"/>
    </xf>
    <xf numFmtId="0" fontId="21" fillId="26" borderId="0" xfId="0" applyFont="1" applyFill="1" applyAlignment="1">
      <alignment horizontal="center" vertical="center"/>
    </xf>
    <xf numFmtId="14" fontId="19" fillId="26" borderId="0" xfId="0" applyNumberFormat="1" applyFont="1" applyFill="1" applyAlignment="1">
      <alignment horizontal="center"/>
    </xf>
    <xf numFmtId="0" fontId="27" fillId="25" borderId="0" xfId="0" applyFont="1" applyFill="1"/>
    <xf numFmtId="0" fontId="19" fillId="25" borderId="0" xfId="0" applyFont="1" applyFill="1" applyAlignment="1">
      <alignment vertical="center" wrapText="1"/>
    </xf>
    <xf numFmtId="0" fontId="19" fillId="30" borderId="10" xfId="0" applyFont="1" applyFill="1" applyBorder="1" applyAlignment="1" applyProtection="1">
      <alignment horizontal="center" vertical="center" wrapText="1"/>
      <protection locked="0"/>
    </xf>
    <xf numFmtId="0" fontId="19" fillId="35" borderId="10" xfId="0" applyFont="1" applyFill="1" applyBorder="1"/>
    <xf numFmtId="14" fontId="19" fillId="31" borderId="10" xfId="0" applyNumberFormat="1" applyFont="1" applyFill="1" applyBorder="1" applyAlignment="1">
      <alignment horizontal="center"/>
    </xf>
    <xf numFmtId="49" fontId="19" fillId="30" borderId="13" xfId="0" applyNumberFormat="1" applyFont="1" applyFill="1" applyBorder="1" applyAlignment="1" applyProtection="1">
      <alignment horizontal="left" vertical="center" wrapText="1"/>
      <protection locked="0"/>
    </xf>
    <xf numFmtId="0" fontId="20" fillId="31" borderId="13" xfId="0" applyFont="1" applyFill="1" applyBorder="1" applyAlignment="1">
      <alignment horizontal="right"/>
    </xf>
    <xf numFmtId="49" fontId="19" fillId="31" borderId="10" xfId="0" applyNumberFormat="1" applyFont="1" applyFill="1" applyBorder="1" applyAlignment="1">
      <alignment horizontal="center"/>
    </xf>
    <xf numFmtId="39" fontId="19" fillId="32" borderId="10" xfId="0" applyNumberFormat="1" applyFont="1" applyFill="1" applyBorder="1" applyAlignment="1" applyProtection="1">
      <alignment vertical="center" wrapText="1"/>
      <protection locked="0"/>
    </xf>
    <xf numFmtId="0" fontId="25" fillId="27" borderId="15" xfId="0" applyFont="1" applyFill="1" applyBorder="1" applyAlignment="1">
      <alignment horizontal="left"/>
    </xf>
    <xf numFmtId="0" fontId="19" fillId="32" borderId="10" xfId="0" applyFont="1" applyFill="1" applyBorder="1" applyAlignment="1" applyProtection="1">
      <alignment horizontal="center"/>
      <protection locked="0"/>
    </xf>
    <xf numFmtId="0" fontId="19" fillId="29" borderId="10" xfId="0" applyFont="1" applyFill="1" applyBorder="1" applyAlignment="1">
      <alignment horizontal="left"/>
    </xf>
    <xf numFmtId="0" fontId="19" fillId="35" borderId="10" xfId="0" applyFont="1" applyFill="1" applyBorder="1" applyAlignment="1">
      <alignment horizontal="left"/>
    </xf>
    <xf numFmtId="39" fontId="19" fillId="29" borderId="13" xfId="0" applyNumberFormat="1" applyFont="1" applyFill="1" applyBorder="1" applyAlignment="1">
      <alignment horizontal="left" vertical="center" wrapText="1"/>
    </xf>
    <xf numFmtId="39" fontId="19" fillId="29" borderId="14" xfId="0" applyNumberFormat="1" applyFont="1" applyFill="1" applyBorder="1" applyAlignment="1">
      <alignment horizontal="left" vertical="center" wrapText="1"/>
    </xf>
    <xf numFmtId="39" fontId="19" fillId="29" borderId="12" xfId="0" applyNumberFormat="1" applyFont="1" applyFill="1" applyBorder="1" applyAlignment="1">
      <alignment horizontal="left" vertical="center" wrapText="1"/>
    </xf>
    <xf numFmtId="0" fontId="25" fillId="28" borderId="10" xfId="0" applyFont="1" applyFill="1" applyBorder="1" applyAlignment="1">
      <alignment horizontal="left" vertical="center" wrapText="1"/>
    </xf>
    <xf numFmtId="39" fontId="19" fillId="35" borderId="10" xfId="0" applyNumberFormat="1" applyFont="1" applyFill="1" applyBorder="1" applyAlignment="1">
      <alignment horizontal="left" vertical="center" wrapText="1"/>
    </xf>
    <xf numFmtId="0" fontId="19" fillId="29" borderId="13" xfId="0" applyFont="1" applyFill="1" applyBorder="1" applyAlignment="1">
      <alignment horizontal="left" vertical="center" wrapText="1"/>
    </xf>
    <xf numFmtId="0" fontId="19" fillId="29" borderId="14" xfId="0" applyFont="1" applyFill="1" applyBorder="1" applyAlignment="1">
      <alignment horizontal="left" vertical="center" wrapText="1"/>
    </xf>
    <xf numFmtId="0" fontId="19" fillId="29" borderId="12" xfId="0" applyFont="1" applyFill="1" applyBorder="1" applyAlignment="1">
      <alignment horizontal="left" vertical="center" wrapText="1"/>
    </xf>
    <xf numFmtId="0" fontId="19" fillId="35" borderId="13" xfId="0" applyFont="1" applyFill="1" applyBorder="1" applyAlignment="1">
      <alignment horizontal="left" vertical="center" wrapText="1"/>
    </xf>
    <xf numFmtId="0" fontId="19" fillId="35" borderId="14" xfId="0" applyFont="1" applyFill="1" applyBorder="1" applyAlignment="1">
      <alignment horizontal="left" vertical="center" wrapText="1"/>
    </xf>
    <xf numFmtId="0" fontId="19" fillId="35" borderId="12" xfId="0" applyFont="1" applyFill="1" applyBorder="1" applyAlignment="1">
      <alignment horizontal="left" vertical="center" wrapText="1"/>
    </xf>
    <xf numFmtId="39" fontId="19" fillId="32" borderId="10" xfId="0" applyNumberFormat="1" applyFont="1" applyFill="1" applyBorder="1" applyAlignment="1" applyProtection="1">
      <alignment horizontal="left" vertical="center" wrapText="1"/>
      <protection locked="0"/>
    </xf>
    <xf numFmtId="0" fontId="31" fillId="25" borderId="0" xfId="0" applyFont="1" applyFill="1" applyAlignment="1">
      <alignment horizontal="left" wrapText="1"/>
    </xf>
    <xf numFmtId="39" fontId="19" fillId="32" borderId="13" xfId="0" applyNumberFormat="1" applyFont="1" applyFill="1" applyBorder="1" applyAlignment="1" applyProtection="1">
      <alignment horizontal="left" vertical="center" wrapText="1"/>
      <protection locked="0"/>
    </xf>
    <xf numFmtId="39" fontId="19" fillId="32" borderId="12" xfId="0" applyNumberFormat="1" applyFont="1" applyFill="1" applyBorder="1" applyAlignment="1" applyProtection="1">
      <alignment horizontal="left" vertical="center" wrapText="1"/>
      <protection locked="0"/>
    </xf>
    <xf numFmtId="0" fontId="25" fillId="27" borderId="13" xfId="0" applyFont="1" applyFill="1" applyBorder="1" applyAlignment="1">
      <alignment horizontal="left" vertical="center"/>
    </xf>
    <xf numFmtId="0" fontId="25" fillId="27" borderId="14" xfId="0" applyFont="1" applyFill="1" applyBorder="1" applyAlignment="1">
      <alignment horizontal="left" vertical="center"/>
    </xf>
    <xf numFmtId="0" fontId="25" fillId="27" borderId="12" xfId="0" applyFont="1" applyFill="1" applyBorder="1" applyAlignment="1">
      <alignment horizontal="left" vertical="center"/>
    </xf>
    <xf numFmtId="0" fontId="25" fillId="28" borderId="11" xfId="0" applyFont="1" applyFill="1" applyBorder="1" applyAlignment="1">
      <alignment horizontal="left" vertical="center" wrapText="1"/>
    </xf>
    <xf numFmtId="0" fontId="19" fillId="35" borderId="11" xfId="0" applyFont="1" applyFill="1" applyBorder="1" applyAlignment="1">
      <alignment horizontal="left" vertical="center" wrapText="1"/>
    </xf>
    <xf numFmtId="0" fontId="19" fillId="29" borderId="11" xfId="0" applyFont="1" applyFill="1" applyBorder="1" applyAlignment="1">
      <alignment horizontal="left" vertical="center" wrapText="1"/>
    </xf>
    <xf numFmtId="4" fontId="19" fillId="33" borderId="13" xfId="0" applyNumberFormat="1" applyFont="1" applyFill="1" applyBorder="1" applyAlignment="1" applyProtection="1">
      <alignment horizontal="left" vertical="center" wrapText="1"/>
      <protection locked="0"/>
    </xf>
    <xf numFmtId="4" fontId="19" fillId="33" borderId="14" xfId="0" applyNumberFormat="1" applyFont="1" applyFill="1" applyBorder="1" applyAlignment="1" applyProtection="1">
      <alignment horizontal="left" vertical="center" wrapText="1"/>
      <protection locked="0"/>
    </xf>
    <xf numFmtId="4" fontId="19" fillId="33" borderId="12" xfId="0" applyNumberFormat="1" applyFont="1" applyFill="1" applyBorder="1" applyAlignment="1" applyProtection="1">
      <alignment horizontal="left" vertical="center" wrapText="1"/>
      <protection locked="0"/>
    </xf>
    <xf numFmtId="0" fontId="25" fillId="27" borderId="10" xfId="0" applyFont="1" applyFill="1" applyBorder="1" applyAlignment="1">
      <alignment horizontal="left" vertical="center"/>
    </xf>
    <xf numFmtId="0" fontId="25" fillId="27" borderId="13" xfId="0" applyFont="1" applyFill="1" applyBorder="1" applyAlignment="1">
      <alignment horizontal="left" vertical="center" wrapText="1"/>
    </xf>
    <xf numFmtId="0" fontId="25" fillId="27" borderId="14" xfId="0" applyFont="1" applyFill="1" applyBorder="1" applyAlignment="1">
      <alignment horizontal="left" vertical="center" wrapText="1"/>
    </xf>
    <xf numFmtId="0" fontId="25" fillId="27" borderId="12" xfId="0" applyFont="1" applyFill="1" applyBorder="1" applyAlignment="1">
      <alignment horizontal="left" vertical="center" wrapText="1"/>
    </xf>
    <xf numFmtId="0" fontId="19" fillId="25" borderId="0" xfId="0" applyFont="1" applyFill="1" applyAlignment="1">
      <alignment horizontal="justify" vertical="center" wrapText="1"/>
    </xf>
    <xf numFmtId="0" fontId="25" fillId="28" borderId="13" xfId="0" applyFont="1" applyFill="1" applyBorder="1" applyAlignment="1">
      <alignment horizontal="left" vertical="center" wrapText="1"/>
    </xf>
    <xf numFmtId="0" fontId="25" fillId="28" borderId="12" xfId="0" applyFont="1" applyFill="1" applyBorder="1" applyAlignment="1">
      <alignment horizontal="left" vertical="center" wrapText="1"/>
    </xf>
    <xf numFmtId="0" fontId="20" fillId="30" borderId="13" xfId="0" applyFont="1" applyFill="1" applyBorder="1" applyAlignment="1" applyProtection="1">
      <alignment horizontal="left"/>
      <protection locked="0"/>
    </xf>
    <xf numFmtId="0" fontId="20" fillId="30" borderId="14" xfId="0" applyFont="1" applyFill="1" applyBorder="1" applyAlignment="1" applyProtection="1">
      <alignment horizontal="left"/>
      <protection locked="0"/>
    </xf>
    <xf numFmtId="0" fontId="20" fillId="30" borderId="12" xfId="0" applyFont="1" applyFill="1" applyBorder="1" applyAlignment="1" applyProtection="1">
      <alignment horizontal="left"/>
      <protection locked="0"/>
    </xf>
    <xf numFmtId="0" fontId="27" fillId="25" borderId="0" xfId="0" applyFont="1" applyFill="1" applyAlignment="1">
      <alignment horizontal="center"/>
    </xf>
    <xf numFmtId="0" fontId="19" fillId="36" borderId="10" xfId="0" applyFont="1" applyFill="1" applyBorder="1" applyAlignment="1">
      <alignment horizontal="left"/>
    </xf>
    <xf numFmtId="0" fontId="19" fillId="30" borderId="10" xfId="0" applyFont="1" applyFill="1" applyBorder="1" applyAlignment="1" applyProtection="1">
      <alignment horizontal="center"/>
      <protection locked="0"/>
    </xf>
    <xf numFmtId="49" fontId="19" fillId="30" borderId="13" xfId="0" applyNumberFormat="1" applyFont="1" applyFill="1" applyBorder="1" applyAlignment="1" applyProtection="1">
      <alignment horizontal="center"/>
      <protection locked="0"/>
    </xf>
    <xf numFmtId="49" fontId="19" fillId="30" borderId="12" xfId="0" applyNumberFormat="1" applyFont="1" applyFill="1" applyBorder="1" applyAlignment="1" applyProtection="1">
      <alignment horizontal="center"/>
      <protection locked="0"/>
    </xf>
    <xf numFmtId="0" fontId="19" fillId="31" borderId="10" xfId="0" applyFont="1" applyFill="1" applyBorder="1" applyAlignment="1">
      <alignment horizontal="left"/>
    </xf>
    <xf numFmtId="0" fontId="19" fillId="30" borderId="10" xfId="0" applyFont="1" applyFill="1" applyBorder="1" applyAlignment="1" applyProtection="1">
      <alignment horizontal="right"/>
      <protection locked="0"/>
    </xf>
    <xf numFmtId="0" fontId="19" fillId="30" borderId="10" xfId="0" applyFont="1" applyFill="1" applyBorder="1" applyAlignment="1" applyProtection="1">
      <alignment horizontal="left" vertical="center"/>
      <protection locked="0"/>
    </xf>
    <xf numFmtId="0" fontId="19" fillId="31" borderId="13" xfId="0" applyFont="1" applyFill="1" applyBorder="1" applyAlignment="1">
      <alignment horizontal="left" vertical="center" wrapText="1"/>
    </xf>
    <xf numFmtId="0" fontId="19" fillId="31" borderId="14" xfId="0" applyFont="1" applyFill="1" applyBorder="1" applyAlignment="1">
      <alignment horizontal="left" vertical="center" wrapText="1"/>
    </xf>
    <xf numFmtId="0" fontId="19" fillId="31" borderId="12" xfId="0" applyFont="1" applyFill="1" applyBorder="1" applyAlignment="1">
      <alignment horizontal="left" vertical="center" wrapText="1"/>
    </xf>
    <xf numFmtId="39" fontId="19" fillId="29" borderId="10" xfId="0" applyNumberFormat="1" applyFont="1" applyFill="1" applyBorder="1" applyAlignment="1">
      <alignment horizontal="left" vertical="center" wrapText="1"/>
    </xf>
    <xf numFmtId="0" fontId="19" fillId="29" borderId="13" xfId="0" applyFont="1" applyFill="1" applyBorder="1" applyAlignment="1">
      <alignment horizontal="left" vertical="center"/>
    </xf>
    <xf numFmtId="0" fontId="19" fillId="29" borderId="14" xfId="0" applyFont="1" applyFill="1" applyBorder="1" applyAlignment="1">
      <alignment horizontal="left" vertical="center"/>
    </xf>
    <xf numFmtId="0" fontId="19" fillId="29" borderId="12" xfId="0" applyFont="1" applyFill="1" applyBorder="1" applyAlignment="1">
      <alignment horizontal="left" vertical="center"/>
    </xf>
    <xf numFmtId="0" fontId="19" fillId="35" borderId="10" xfId="0" applyFont="1" applyFill="1" applyBorder="1" applyAlignment="1">
      <alignment horizontal="justify" vertical="center"/>
    </xf>
    <xf numFmtId="0" fontId="25" fillId="27" borderId="10" xfId="0" applyFont="1" applyFill="1" applyBorder="1" applyAlignment="1">
      <alignment horizontal="left" vertical="center" wrapText="1"/>
    </xf>
    <xf numFmtId="0" fontId="19" fillId="35" borderId="10" xfId="0" applyFont="1" applyFill="1" applyBorder="1" applyAlignment="1">
      <alignment horizontal="left" vertical="center" wrapText="1"/>
    </xf>
    <xf numFmtId="0" fontId="19" fillId="29" borderId="10" xfId="0" applyFont="1" applyFill="1" applyBorder="1" applyAlignment="1">
      <alignment horizontal="left" vertical="center" wrapText="1"/>
    </xf>
    <xf numFmtId="0" fontId="31" fillId="25" borderId="17" xfId="0" applyFont="1" applyFill="1" applyBorder="1" applyAlignment="1">
      <alignment horizontal="left" vertical="center" wrapText="1"/>
    </xf>
    <xf numFmtId="0" fontId="25" fillId="27" borderId="10" xfId="0" applyFont="1" applyFill="1" applyBorder="1" applyAlignment="1">
      <alignment horizontal="justify" vertical="center" wrapText="1"/>
    </xf>
    <xf numFmtId="0" fontId="19" fillId="29" borderId="10" xfId="0" applyFont="1" applyFill="1" applyBorder="1" applyAlignment="1">
      <alignment horizontal="justify" vertical="center"/>
    </xf>
    <xf numFmtId="0" fontId="20" fillId="36" borderId="13" xfId="0" applyFont="1" applyFill="1" applyBorder="1" applyAlignment="1">
      <alignment horizontal="left"/>
    </xf>
    <xf numFmtId="0" fontId="20" fillId="36" borderId="14" xfId="0" applyFont="1" applyFill="1" applyBorder="1" applyAlignment="1">
      <alignment horizontal="left"/>
    </xf>
    <xf numFmtId="0" fontId="20" fillId="36" borderId="12" xfId="0" applyFont="1" applyFill="1" applyBorder="1" applyAlignment="1">
      <alignment horizontal="left"/>
    </xf>
    <xf numFmtId="0" fontId="20" fillId="31" borderId="13" xfId="0" applyFont="1" applyFill="1" applyBorder="1" applyAlignment="1">
      <alignment horizontal="left"/>
    </xf>
    <xf numFmtId="0" fontId="20" fillId="31" borderId="14" xfId="0" applyFont="1" applyFill="1" applyBorder="1" applyAlignment="1">
      <alignment horizontal="left"/>
    </xf>
    <xf numFmtId="0" fontId="20" fillId="31" borderId="12" xfId="0" applyFont="1" applyFill="1" applyBorder="1" applyAlignment="1">
      <alignment horizontal="left"/>
    </xf>
    <xf numFmtId="0" fontId="19" fillId="36" borderId="10" xfId="0" applyFont="1" applyFill="1" applyBorder="1" applyAlignment="1">
      <alignment horizontal="center"/>
    </xf>
    <xf numFmtId="0" fontId="19" fillId="31" borderId="10" xfId="0" applyFont="1" applyFill="1" applyBorder="1" applyAlignment="1">
      <alignment horizontal="right"/>
    </xf>
    <xf numFmtId="0" fontId="33" fillId="0" borderId="0" xfId="0" applyFont="1" applyAlignment="1">
      <alignment horizontal="center"/>
    </xf>
    <xf numFmtId="0" fontId="19" fillId="31" borderId="10" xfId="0" applyFont="1" applyFill="1" applyBorder="1" applyAlignment="1">
      <alignment horizontal="left" vertical="center"/>
    </xf>
    <xf numFmtId="0" fontId="19" fillId="36" borderId="10" xfId="0" applyFont="1" applyFill="1" applyBorder="1" applyAlignment="1">
      <alignment horizontal="left" vertical="center"/>
    </xf>
    <xf numFmtId="0" fontId="19" fillId="35" borderId="10" xfId="0" applyFont="1" applyFill="1" applyBorder="1" applyAlignment="1">
      <alignment horizontal="center"/>
    </xf>
    <xf numFmtId="0" fontId="19" fillId="29" borderId="10" xfId="0" applyFont="1" applyFill="1" applyBorder="1" applyAlignment="1">
      <alignment horizontal="center"/>
    </xf>
    <xf numFmtId="0" fontId="34" fillId="25" borderId="16" xfId="0" applyFont="1" applyFill="1" applyBorder="1" applyAlignment="1">
      <alignment horizontal="center" vertical="center"/>
    </xf>
    <xf numFmtId="0" fontId="19" fillId="35" borderId="10" xfId="0" applyFont="1" applyFill="1" applyBorder="1" applyAlignment="1">
      <alignment horizontal="left" wrapText="1"/>
    </xf>
    <xf numFmtId="39" fontId="19" fillId="35" borderId="13" xfId="0" applyNumberFormat="1" applyFont="1" applyFill="1" applyBorder="1" applyAlignment="1">
      <alignment horizontal="left" vertical="center" wrapText="1"/>
    </xf>
    <xf numFmtId="39" fontId="19" fillId="35" borderId="14" xfId="0" applyNumberFormat="1" applyFont="1" applyFill="1" applyBorder="1" applyAlignment="1">
      <alignment horizontal="left" vertical="center" wrapText="1"/>
    </xf>
    <xf numFmtId="39" fontId="19" fillId="35" borderId="12" xfId="0" applyNumberFormat="1" applyFont="1" applyFill="1" applyBorder="1" applyAlignment="1">
      <alignment horizontal="left" vertical="center" wrapText="1"/>
    </xf>
    <xf numFmtId="0" fontId="25" fillId="34" borderId="10" xfId="0" applyFont="1" applyFill="1" applyBorder="1" applyAlignment="1">
      <alignment horizontal="left" vertical="center" wrapText="1"/>
    </xf>
    <xf numFmtId="0" fontId="31" fillId="25" borderId="0" xfId="0" applyFont="1" applyFill="1" applyAlignment="1">
      <alignment horizontal="justify" vertical="center" wrapText="1"/>
    </xf>
    <xf numFmtId="0" fontId="25" fillId="34" borderId="11" xfId="0" applyFont="1" applyFill="1" applyBorder="1" applyAlignment="1">
      <alignment horizontal="left" vertical="center" wrapText="1"/>
    </xf>
    <xf numFmtId="4" fontId="19" fillId="29" borderId="10" xfId="0" applyNumberFormat="1" applyFont="1" applyFill="1" applyBorder="1" applyAlignment="1">
      <alignment horizontal="left" vertical="center" wrapText="1"/>
    </xf>
    <xf numFmtId="4" fontId="19" fillId="29" borderId="11" xfId="0" applyNumberFormat="1" applyFont="1" applyFill="1" applyBorder="1" applyAlignment="1">
      <alignment horizontal="left" vertical="center" wrapText="1"/>
    </xf>
    <xf numFmtId="0" fontId="24" fillId="29" borderId="10" xfId="0" applyFont="1" applyFill="1" applyBorder="1" applyAlignment="1">
      <alignment horizontal="left" vertical="center" wrapText="1" indent="1"/>
    </xf>
    <xf numFmtId="0" fontId="24" fillId="35" borderId="10" xfId="0" applyFont="1" applyFill="1" applyBorder="1" applyAlignment="1">
      <alignment horizontal="left" vertical="center" wrapText="1" indent="1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Incorreto" xfId="30" builtinId="27" customBuiltin="1"/>
    <cellStyle name="Neutra" xfId="31" builtinId="28" customBuiltin="1"/>
    <cellStyle name="Normal" xfId="0" builtinId="0"/>
    <cellStyle name="Nota" xfId="32" builtinId="10" customBuiltin="1"/>
    <cellStyle name="Saída" xfId="33" builtinId="21" customBuiltin="1"/>
    <cellStyle name="Texto de Aviso" xfId="34" builtinId="11" customBuiltin="1"/>
    <cellStyle name="Texto Explicativo" xfId="35" builtinId="53" customBuiltin="1"/>
    <cellStyle name="Título 1" xfId="36" builtinId="16" customBuiltin="1"/>
    <cellStyle name="Título 1 1" xfId="37"/>
    <cellStyle name="Título 1 1 1" xfId="38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topLeftCell="A58" workbookViewId="0">
      <selection activeCell="F31" sqref="F31"/>
    </sheetView>
  </sheetViews>
  <sheetFormatPr defaultColWidth="9.109375" defaultRowHeight="16.8" x14ac:dyDescent="0.4"/>
  <cols>
    <col min="1" max="1" width="2.6640625" style="7" customWidth="1"/>
    <col min="2" max="2" width="8.88671875" style="7" customWidth="1"/>
    <col min="3" max="3" width="52.5546875" style="12" customWidth="1"/>
    <col min="4" max="4" width="9.5546875" style="12" customWidth="1"/>
    <col min="5" max="5" width="13.5546875" style="12" customWidth="1"/>
    <col min="6" max="6" width="15.44140625" style="12" bestFit="1" customWidth="1"/>
    <col min="7" max="16384" width="9.109375" style="7"/>
  </cols>
  <sheetData>
    <row r="1" spans="2:6" ht="20.399999999999999" x14ac:dyDescent="0.45">
      <c r="B1" s="139" t="s">
        <v>190</v>
      </c>
      <c r="C1" s="140"/>
      <c r="D1" s="140"/>
      <c r="E1" s="140"/>
      <c r="F1" s="141"/>
    </row>
    <row r="2" spans="2:6" ht="20.399999999999999" x14ac:dyDescent="0.45">
      <c r="B2" s="139" t="s">
        <v>192</v>
      </c>
      <c r="C2" s="140"/>
      <c r="D2" s="141"/>
      <c r="E2" s="101" t="s">
        <v>50</v>
      </c>
      <c r="F2" s="71" t="s">
        <v>146</v>
      </c>
    </row>
    <row r="3" spans="2:6" x14ac:dyDescent="0.4">
      <c r="B3" s="79"/>
      <c r="C3" s="79"/>
      <c r="D3" s="79"/>
      <c r="E3" s="79"/>
      <c r="F3" s="79"/>
    </row>
    <row r="4" spans="2:6" s="79" customFormat="1" ht="24.6" x14ac:dyDescent="0.55000000000000004">
      <c r="B4" s="142" t="s">
        <v>157</v>
      </c>
      <c r="C4" s="142"/>
      <c r="D4" s="142"/>
      <c r="E4" s="142"/>
      <c r="F4" s="142"/>
    </row>
    <row r="5" spans="2:6" s="79" customFormat="1" ht="15.9" customHeight="1" x14ac:dyDescent="0.4">
      <c r="B5" s="104" t="s">
        <v>90</v>
      </c>
      <c r="C5" s="104"/>
      <c r="D5" s="104"/>
      <c r="E5" s="104"/>
      <c r="F5" s="104"/>
    </row>
    <row r="6" spans="2:6" s="79" customFormat="1" ht="15.9" customHeight="1" x14ac:dyDescent="0.4">
      <c r="B6" s="143" t="s">
        <v>184</v>
      </c>
      <c r="C6" s="143"/>
      <c r="D6" s="144" t="s">
        <v>191</v>
      </c>
      <c r="E6" s="144"/>
      <c r="F6" s="144"/>
    </row>
    <row r="7" spans="2:6" s="79" customFormat="1" ht="15.75" customHeight="1" x14ac:dyDescent="0.4">
      <c r="B7" s="147" t="s">
        <v>30</v>
      </c>
      <c r="C7" s="147"/>
      <c r="D7" s="148" t="s">
        <v>31</v>
      </c>
      <c r="E7" s="148"/>
      <c r="F7" s="17" t="s">
        <v>147</v>
      </c>
    </row>
    <row r="8" spans="2:6" s="79" customFormat="1" ht="15.75" customHeight="1" x14ac:dyDescent="0.4">
      <c r="B8" s="143" t="s">
        <v>105</v>
      </c>
      <c r="C8" s="143"/>
      <c r="D8" s="145" t="s">
        <v>146</v>
      </c>
      <c r="E8" s="146"/>
      <c r="F8" s="17" t="s">
        <v>148</v>
      </c>
    </row>
    <row r="9" spans="2:6" s="79" customFormat="1" ht="9.75" customHeight="1" x14ac:dyDescent="0.4">
      <c r="C9" s="5"/>
      <c r="D9" s="91"/>
      <c r="E9" s="91"/>
      <c r="F9" s="92"/>
    </row>
    <row r="10" spans="2:6" s="79" customFormat="1" ht="15.75" customHeight="1" x14ac:dyDescent="0.4">
      <c r="B10" s="104" t="s">
        <v>104</v>
      </c>
      <c r="C10" s="104"/>
      <c r="D10" s="104"/>
      <c r="E10" s="104"/>
      <c r="F10" s="104"/>
    </row>
    <row r="11" spans="2:6" s="79" customFormat="1" ht="18" customHeight="1" x14ac:dyDescent="0.4">
      <c r="B11" s="18" t="s">
        <v>2</v>
      </c>
      <c r="C11" s="143" t="s">
        <v>56</v>
      </c>
      <c r="D11" s="143"/>
      <c r="E11" s="143"/>
      <c r="F11" s="19" t="s">
        <v>146</v>
      </c>
    </row>
    <row r="12" spans="2:6" s="79" customFormat="1" ht="15.9" customHeight="1" x14ac:dyDescent="0.25">
      <c r="B12" s="1" t="s">
        <v>3</v>
      </c>
      <c r="C12" s="57" t="s">
        <v>32</v>
      </c>
      <c r="D12" s="149" t="s">
        <v>185</v>
      </c>
      <c r="E12" s="149"/>
      <c r="F12" s="149"/>
    </row>
    <row r="13" spans="2:6" s="79" customFormat="1" ht="15.9" customHeight="1" x14ac:dyDescent="0.4">
      <c r="B13" s="18" t="s">
        <v>4</v>
      </c>
      <c r="C13" s="143" t="s">
        <v>138</v>
      </c>
      <c r="D13" s="143"/>
      <c r="E13" s="143"/>
      <c r="F13" s="59" t="s">
        <v>186</v>
      </c>
    </row>
    <row r="14" spans="2:6" s="79" customFormat="1" ht="18.75" customHeight="1" x14ac:dyDescent="0.4">
      <c r="B14" s="1" t="s">
        <v>5</v>
      </c>
      <c r="C14" s="150" t="s">
        <v>33</v>
      </c>
      <c r="D14" s="151"/>
      <c r="E14" s="152"/>
      <c r="F14" s="17" t="s">
        <v>187</v>
      </c>
    </row>
    <row r="15" spans="2:6" s="79" customFormat="1" ht="15.9" customHeight="1" x14ac:dyDescent="0.4">
      <c r="B15" s="1" t="s">
        <v>6</v>
      </c>
      <c r="C15" s="143" t="s">
        <v>57</v>
      </c>
      <c r="D15" s="143"/>
      <c r="E15" s="143"/>
      <c r="F15" s="55">
        <v>12</v>
      </c>
    </row>
    <row r="16" spans="2:6" s="79" customFormat="1" ht="15.9" customHeight="1" x14ac:dyDescent="0.4">
      <c r="C16" s="5"/>
      <c r="D16" s="91"/>
      <c r="E16" s="91"/>
      <c r="F16" s="92"/>
    </row>
    <row r="17" spans="2:6" s="79" customFormat="1" x14ac:dyDescent="0.4">
      <c r="B17" s="104" t="s">
        <v>106</v>
      </c>
      <c r="C17" s="104"/>
      <c r="D17" s="104"/>
      <c r="E17" s="104"/>
      <c r="F17" s="104"/>
    </row>
    <row r="18" spans="2:6" s="93" customFormat="1" ht="50.4" x14ac:dyDescent="0.25">
      <c r="B18" s="73" t="s">
        <v>139</v>
      </c>
      <c r="C18" s="73" t="s">
        <v>27</v>
      </c>
      <c r="D18" s="56" t="s">
        <v>107</v>
      </c>
      <c r="E18" s="56" t="s">
        <v>158</v>
      </c>
      <c r="F18" s="56" t="s">
        <v>108</v>
      </c>
    </row>
    <row r="19" spans="2:6" s="79" customFormat="1" ht="16.5" customHeight="1" x14ac:dyDescent="0.4">
      <c r="B19" s="18">
        <v>1</v>
      </c>
      <c r="C19" s="100" t="s">
        <v>188</v>
      </c>
      <c r="D19" s="75" t="s">
        <v>189</v>
      </c>
      <c r="E19" s="97">
        <v>1</v>
      </c>
      <c r="F19" s="75">
        <v>1</v>
      </c>
    </row>
    <row r="20" spans="2:6" s="79" customFormat="1" ht="15.9" customHeight="1" x14ac:dyDescent="0.4">
      <c r="B20" s="11"/>
      <c r="C20" s="11"/>
      <c r="D20" s="11"/>
      <c r="E20" s="11"/>
      <c r="F20" s="11"/>
    </row>
    <row r="21" spans="2:6" s="79" customFormat="1" ht="15" customHeight="1" x14ac:dyDescent="0.4">
      <c r="B21" s="104" t="s">
        <v>109</v>
      </c>
      <c r="C21" s="104"/>
      <c r="D21" s="104"/>
      <c r="E21" s="104"/>
      <c r="F21" s="104"/>
    </row>
    <row r="22" spans="2:6" s="79" customFormat="1" ht="15" customHeight="1" x14ac:dyDescent="0.4">
      <c r="B22" s="18">
        <v>1</v>
      </c>
      <c r="C22" s="98" t="s">
        <v>52</v>
      </c>
      <c r="D22" s="105"/>
      <c r="E22" s="105"/>
      <c r="F22" s="105"/>
    </row>
    <row r="23" spans="2:6" s="79" customFormat="1" ht="15.9" customHeight="1" x14ac:dyDescent="0.4">
      <c r="B23" s="18">
        <v>2</v>
      </c>
      <c r="C23" s="20" t="s">
        <v>54</v>
      </c>
      <c r="D23" s="105"/>
      <c r="E23" s="105"/>
      <c r="F23" s="105"/>
    </row>
    <row r="24" spans="2:6" s="79" customFormat="1" ht="15.9" customHeight="1" x14ac:dyDescent="0.4">
      <c r="B24" s="18">
        <v>3</v>
      </c>
      <c r="C24" s="107" t="s">
        <v>55</v>
      </c>
      <c r="D24" s="107"/>
      <c r="E24" s="107"/>
      <c r="F24" s="19">
        <v>44562</v>
      </c>
    </row>
    <row r="25" spans="2:6" s="79" customFormat="1" ht="15.9" customHeight="1" x14ac:dyDescent="0.4">
      <c r="B25" s="18">
        <v>4</v>
      </c>
      <c r="C25" s="106" t="s">
        <v>132</v>
      </c>
      <c r="D25" s="106"/>
      <c r="E25" s="106"/>
      <c r="F25" s="58">
        <v>1212</v>
      </c>
    </row>
    <row r="26" spans="2:6" s="79" customFormat="1" x14ac:dyDescent="0.4">
      <c r="B26" s="21"/>
      <c r="C26" s="22"/>
      <c r="D26" s="22"/>
      <c r="E26" s="22"/>
      <c r="F26" s="94"/>
    </row>
    <row r="27" spans="2:6" s="79" customFormat="1" ht="24.6" x14ac:dyDescent="0.55000000000000004">
      <c r="B27" s="95" t="s">
        <v>151</v>
      </c>
      <c r="C27" s="7"/>
      <c r="D27" s="7"/>
      <c r="E27" s="7"/>
      <c r="F27" s="7"/>
    </row>
    <row r="28" spans="2:6" x14ac:dyDescent="0.4">
      <c r="B28" s="44" t="s">
        <v>8</v>
      </c>
      <c r="E28" s="8"/>
      <c r="F28" s="8"/>
    </row>
    <row r="29" spans="2:6" x14ac:dyDescent="0.4">
      <c r="B29" s="1">
        <v>1</v>
      </c>
      <c r="C29" s="111" t="s">
        <v>9</v>
      </c>
      <c r="D29" s="111"/>
      <c r="E29" s="111"/>
      <c r="F29" s="3" t="s">
        <v>114</v>
      </c>
    </row>
    <row r="30" spans="2:6" x14ac:dyDescent="0.4">
      <c r="B30" s="1" t="s">
        <v>2</v>
      </c>
      <c r="C30" s="112" t="s">
        <v>84</v>
      </c>
      <c r="D30" s="112"/>
      <c r="E30" s="112"/>
      <c r="F30" s="66">
        <v>6573.84</v>
      </c>
    </row>
    <row r="31" spans="2:6" x14ac:dyDescent="0.4">
      <c r="B31" s="1" t="s">
        <v>3</v>
      </c>
      <c r="C31" s="113" t="s">
        <v>74</v>
      </c>
      <c r="D31" s="114"/>
      <c r="E31" s="115"/>
      <c r="F31" s="67"/>
    </row>
    <row r="32" spans="2:6" x14ac:dyDescent="0.4">
      <c r="B32" s="1" t="s">
        <v>4</v>
      </c>
      <c r="C32" s="112" t="s">
        <v>76</v>
      </c>
      <c r="D32" s="112"/>
      <c r="E32" s="112"/>
      <c r="F32" s="67"/>
    </row>
    <row r="33" spans="1:6" x14ac:dyDescent="0.4">
      <c r="B33" s="1" t="s">
        <v>5</v>
      </c>
      <c r="C33" s="108" t="s">
        <v>152</v>
      </c>
      <c r="D33" s="109"/>
      <c r="E33" s="110"/>
      <c r="F33" s="67"/>
    </row>
    <row r="34" spans="1:6" x14ac:dyDescent="0.4">
      <c r="B34" s="1" t="s">
        <v>6</v>
      </c>
      <c r="C34" s="119" t="s">
        <v>140</v>
      </c>
      <c r="D34" s="119"/>
      <c r="E34" s="119"/>
      <c r="F34" s="66"/>
    </row>
    <row r="35" spans="1:6" x14ac:dyDescent="0.4">
      <c r="B35" s="1" t="s">
        <v>7</v>
      </c>
      <c r="C35" s="119" t="s">
        <v>141</v>
      </c>
      <c r="D35" s="119"/>
      <c r="E35" s="119"/>
      <c r="F35" s="66"/>
    </row>
    <row r="36" spans="1:6" x14ac:dyDescent="0.4">
      <c r="B36" s="1" t="s">
        <v>10</v>
      </c>
      <c r="C36" s="119" t="s">
        <v>142</v>
      </c>
      <c r="D36" s="119"/>
      <c r="E36" s="119"/>
      <c r="F36" s="66"/>
    </row>
    <row r="37" spans="1:6" s="86" customFormat="1" x14ac:dyDescent="0.4"/>
    <row r="38" spans="1:6" s="86" customFormat="1" x14ac:dyDescent="0.4">
      <c r="A38" s="7"/>
      <c r="B38" s="44" t="s">
        <v>58</v>
      </c>
      <c r="C38" s="12"/>
      <c r="D38" s="12"/>
      <c r="E38" s="14"/>
      <c r="F38" s="14"/>
    </row>
    <row r="39" spans="1:6" s="86" customFormat="1" x14ac:dyDescent="0.4">
      <c r="A39" s="7"/>
      <c r="B39" s="44" t="s">
        <v>63</v>
      </c>
      <c r="C39" s="79"/>
      <c r="D39" s="79"/>
      <c r="E39" s="79"/>
      <c r="F39" s="79"/>
    </row>
    <row r="40" spans="1:6" s="86" customFormat="1" ht="15" customHeight="1" x14ac:dyDescent="0.4">
      <c r="A40" s="7"/>
      <c r="B40" s="1" t="s">
        <v>83</v>
      </c>
      <c r="C40" s="137" t="s">
        <v>14</v>
      </c>
      <c r="D40" s="138"/>
      <c r="E40" s="3" t="s">
        <v>34</v>
      </c>
      <c r="F40" s="3" t="s">
        <v>115</v>
      </c>
    </row>
    <row r="41" spans="1:6" s="86" customFormat="1" x14ac:dyDescent="0.4">
      <c r="A41" s="7"/>
      <c r="B41" s="74" t="s">
        <v>2</v>
      </c>
      <c r="C41" s="107" t="s">
        <v>15</v>
      </c>
      <c r="D41" s="107"/>
      <c r="E41" s="55" t="s">
        <v>35</v>
      </c>
      <c r="F41" s="26">
        <v>11</v>
      </c>
    </row>
    <row r="42" spans="1:6" s="86" customFormat="1" x14ac:dyDescent="0.4">
      <c r="B42" s="74" t="s">
        <v>3</v>
      </c>
      <c r="C42" s="106" t="s">
        <v>62</v>
      </c>
      <c r="D42" s="106"/>
      <c r="E42" s="23" t="s">
        <v>35</v>
      </c>
      <c r="F42" s="26">
        <v>38.72</v>
      </c>
    </row>
    <row r="43" spans="1:6" s="86" customFormat="1" x14ac:dyDescent="0.4">
      <c r="B43" s="74" t="s">
        <v>4</v>
      </c>
      <c r="C43" s="107" t="s">
        <v>154</v>
      </c>
      <c r="D43" s="107"/>
      <c r="E43" s="55" t="s">
        <v>135</v>
      </c>
      <c r="F43" s="70">
        <v>22</v>
      </c>
    </row>
    <row r="44" spans="1:6" x14ac:dyDescent="0.4">
      <c r="B44" s="74" t="s">
        <v>5</v>
      </c>
      <c r="C44" s="121" t="s">
        <v>143</v>
      </c>
      <c r="D44" s="122"/>
      <c r="E44" s="72"/>
      <c r="F44" s="66"/>
    </row>
    <row r="45" spans="1:6" x14ac:dyDescent="0.4">
      <c r="B45" s="74" t="s">
        <v>6</v>
      </c>
      <c r="C45" s="121" t="s">
        <v>144</v>
      </c>
      <c r="D45" s="122"/>
      <c r="E45" s="72"/>
      <c r="F45" s="66"/>
    </row>
    <row r="46" spans="1:6" x14ac:dyDescent="0.4">
      <c r="B46" s="74" t="s">
        <v>7</v>
      </c>
      <c r="C46" s="121" t="s">
        <v>145</v>
      </c>
      <c r="D46" s="122"/>
      <c r="E46" s="72"/>
      <c r="F46" s="66"/>
    </row>
    <row r="47" spans="1:6" s="86" customFormat="1" x14ac:dyDescent="0.4"/>
    <row r="48" spans="1:6" s="79" customFormat="1" x14ac:dyDescent="0.4">
      <c r="B48" s="44" t="s">
        <v>65</v>
      </c>
      <c r="C48" s="6"/>
      <c r="D48" s="15"/>
      <c r="E48" s="7"/>
      <c r="F48" s="7"/>
    </row>
    <row r="49" spans="1:6" s="79" customFormat="1" ht="15" customHeight="1" x14ac:dyDescent="0.4">
      <c r="B49" s="44" t="s">
        <v>95</v>
      </c>
      <c r="C49" s="6"/>
      <c r="D49" s="15"/>
      <c r="E49" s="13"/>
      <c r="F49" s="13"/>
    </row>
    <row r="50" spans="1:6" x14ac:dyDescent="0.4">
      <c r="A50" s="79"/>
      <c r="B50" s="1" t="s">
        <v>20</v>
      </c>
      <c r="C50" s="133" t="s">
        <v>96</v>
      </c>
      <c r="D50" s="134"/>
      <c r="E50" s="135"/>
      <c r="F50" s="3" t="s">
        <v>1</v>
      </c>
    </row>
    <row r="51" spans="1:6" s="86" customFormat="1" x14ac:dyDescent="0.4">
      <c r="B51" s="2" t="s">
        <v>2</v>
      </c>
      <c r="C51" s="129" t="s">
        <v>149</v>
      </c>
      <c r="D51" s="130"/>
      <c r="E51" s="131"/>
      <c r="F51" s="68"/>
    </row>
    <row r="52" spans="1:6" x14ac:dyDescent="0.4">
      <c r="B52" s="86"/>
      <c r="C52" s="86"/>
      <c r="D52" s="86"/>
      <c r="E52" s="86"/>
      <c r="F52" s="86"/>
    </row>
    <row r="53" spans="1:6" x14ac:dyDescent="0.4">
      <c r="B53" s="44" t="s">
        <v>178</v>
      </c>
      <c r="C53" s="6"/>
      <c r="D53" s="15"/>
      <c r="E53" s="13"/>
      <c r="F53" s="13"/>
    </row>
    <row r="54" spans="1:6" x14ac:dyDescent="0.4">
      <c r="B54" s="1" t="s">
        <v>21</v>
      </c>
      <c r="C54" s="132" t="s">
        <v>177</v>
      </c>
      <c r="D54" s="132"/>
      <c r="E54" s="132"/>
      <c r="F54" s="3" t="s">
        <v>173</v>
      </c>
    </row>
    <row r="55" spans="1:6" ht="15" customHeight="1" x14ac:dyDescent="0.4">
      <c r="B55" s="1" t="s">
        <v>2</v>
      </c>
      <c r="C55" s="112" t="s">
        <v>119</v>
      </c>
      <c r="D55" s="112"/>
      <c r="E55" s="112"/>
      <c r="F55" s="67"/>
    </row>
    <row r="56" spans="1:6" s="86" customFormat="1" x14ac:dyDescent="0.4">
      <c r="B56" s="1" t="s">
        <v>3</v>
      </c>
      <c r="C56" s="113" t="s">
        <v>128</v>
      </c>
      <c r="D56" s="114"/>
      <c r="E56" s="115"/>
      <c r="F56" s="67"/>
    </row>
    <row r="57" spans="1:6" x14ac:dyDescent="0.4">
      <c r="B57" s="86"/>
      <c r="C57" s="86"/>
      <c r="D57" s="86"/>
      <c r="E57" s="86"/>
      <c r="F57" s="86"/>
    </row>
    <row r="58" spans="1:6" ht="15.75" customHeight="1" x14ac:dyDescent="0.4">
      <c r="B58" s="44" t="s">
        <v>69</v>
      </c>
      <c r="C58" s="6"/>
      <c r="D58" s="6"/>
      <c r="E58" s="13"/>
      <c r="F58" s="13"/>
    </row>
    <row r="59" spans="1:6" x14ac:dyDescent="0.4">
      <c r="B59" s="42">
        <v>5</v>
      </c>
      <c r="C59" s="126" t="s">
        <v>0</v>
      </c>
      <c r="D59" s="126"/>
      <c r="E59" s="126"/>
      <c r="F59" s="43" t="s">
        <v>13</v>
      </c>
    </row>
    <row r="60" spans="1:6" x14ac:dyDescent="0.4">
      <c r="B60" s="38" t="s">
        <v>2</v>
      </c>
      <c r="C60" s="127" t="s">
        <v>16</v>
      </c>
      <c r="D60" s="127"/>
      <c r="E60" s="127"/>
      <c r="F60" s="69">
        <v>169.04</v>
      </c>
    </row>
    <row r="61" spans="1:6" s="87" customFormat="1" x14ac:dyDescent="0.4">
      <c r="A61" s="7"/>
      <c r="B61" s="38" t="s">
        <v>3</v>
      </c>
      <c r="C61" s="128" t="s">
        <v>18</v>
      </c>
      <c r="D61" s="128"/>
      <c r="E61" s="128"/>
      <c r="F61" s="69"/>
    </row>
    <row r="62" spans="1:6" s="87" customFormat="1" x14ac:dyDescent="0.4">
      <c r="A62" s="7"/>
      <c r="B62" s="38" t="s">
        <v>4</v>
      </c>
      <c r="C62" s="127" t="s">
        <v>17</v>
      </c>
      <c r="D62" s="127"/>
      <c r="E62" s="127"/>
      <c r="F62" s="69"/>
    </row>
    <row r="63" spans="1:6" s="86" customFormat="1" x14ac:dyDescent="0.4">
      <c r="B63" s="38" t="s">
        <v>5</v>
      </c>
      <c r="C63" s="119" t="s">
        <v>78</v>
      </c>
      <c r="D63" s="119"/>
      <c r="E63" s="119"/>
      <c r="F63" s="66"/>
    </row>
    <row r="64" spans="1:6" s="88" customFormat="1" ht="16.5" customHeight="1" x14ac:dyDescent="0.4">
      <c r="A64" s="7"/>
      <c r="B64" s="86"/>
      <c r="C64" s="86"/>
      <c r="D64" s="86"/>
      <c r="E64" s="86"/>
      <c r="F64" s="86"/>
    </row>
    <row r="65" spans="1:6" s="89" customFormat="1" ht="16.5" customHeight="1" x14ac:dyDescent="0.4">
      <c r="A65" s="7"/>
      <c r="B65" s="120" t="s">
        <v>68</v>
      </c>
      <c r="C65" s="120"/>
      <c r="D65" s="120"/>
      <c r="E65" s="120"/>
      <c r="F65" s="120"/>
    </row>
    <row r="66" spans="1:6" s="89" customFormat="1" x14ac:dyDescent="0.4">
      <c r="A66" s="87"/>
      <c r="B66" s="1">
        <v>6</v>
      </c>
      <c r="C66" s="123" t="s">
        <v>22</v>
      </c>
      <c r="D66" s="124"/>
      <c r="E66" s="125"/>
      <c r="F66" s="3" t="s">
        <v>1</v>
      </c>
    </row>
    <row r="67" spans="1:6" s="89" customFormat="1" x14ac:dyDescent="0.4">
      <c r="A67" s="87"/>
      <c r="B67" s="1" t="s">
        <v>2</v>
      </c>
      <c r="C67" s="116" t="s">
        <v>70</v>
      </c>
      <c r="D67" s="117"/>
      <c r="E67" s="118"/>
      <c r="F67" s="103">
        <v>4.7300000000000004</v>
      </c>
    </row>
    <row r="68" spans="1:6" s="89" customFormat="1" x14ac:dyDescent="0.4">
      <c r="A68" s="88"/>
      <c r="B68" s="2" t="s">
        <v>3</v>
      </c>
      <c r="C68" s="113" t="s">
        <v>29</v>
      </c>
      <c r="D68" s="114"/>
      <c r="E68" s="115"/>
      <c r="F68" s="103">
        <v>5.57</v>
      </c>
    </row>
    <row r="69" spans="1:6" x14ac:dyDescent="0.4">
      <c r="B69" s="24" t="s">
        <v>71</v>
      </c>
      <c r="C69" s="116" t="s">
        <v>24</v>
      </c>
      <c r="D69" s="117"/>
      <c r="E69" s="118">
        <f>PERC_PIS</f>
        <v>0.65</v>
      </c>
      <c r="F69" s="103">
        <v>0.65</v>
      </c>
    </row>
    <row r="70" spans="1:6" x14ac:dyDescent="0.4">
      <c r="B70" s="24" t="s">
        <v>72</v>
      </c>
      <c r="C70" s="113" t="s">
        <v>25</v>
      </c>
      <c r="D70" s="114"/>
      <c r="E70" s="115">
        <f>PERC_COFINS</f>
        <v>3</v>
      </c>
      <c r="F70" s="103">
        <v>3</v>
      </c>
    </row>
    <row r="71" spans="1:6" s="86" customFormat="1" x14ac:dyDescent="0.4">
      <c r="B71" s="24" t="s">
        <v>73</v>
      </c>
      <c r="C71" s="116" t="s">
        <v>26</v>
      </c>
      <c r="D71" s="117"/>
      <c r="E71" s="118">
        <f>PERC_ISS</f>
        <v>5</v>
      </c>
      <c r="F71" s="103">
        <v>5</v>
      </c>
    </row>
    <row r="72" spans="1:6" x14ac:dyDescent="0.4">
      <c r="B72" s="86"/>
      <c r="C72" s="86"/>
      <c r="D72" s="86"/>
      <c r="E72" s="86"/>
      <c r="F72" s="86"/>
    </row>
    <row r="73" spans="1:6" ht="33.75" customHeight="1" x14ac:dyDescent="0.4">
      <c r="B73" s="27" t="s">
        <v>150</v>
      </c>
      <c r="C73" s="28"/>
      <c r="D73" s="28"/>
      <c r="E73" s="28"/>
      <c r="F73" s="29"/>
    </row>
    <row r="74" spans="1:6" ht="32.25" customHeight="1" x14ac:dyDescent="0.4">
      <c r="B74" s="136" t="s">
        <v>174</v>
      </c>
      <c r="C74" s="136"/>
      <c r="D74" s="136"/>
      <c r="E74" s="136"/>
      <c r="F74" s="136"/>
    </row>
  </sheetData>
  <mergeCells count="55">
    <mergeCell ref="D8:E8"/>
    <mergeCell ref="B17:F17"/>
    <mergeCell ref="B7:C7"/>
    <mergeCell ref="D7:E7"/>
    <mergeCell ref="B10:F10"/>
    <mergeCell ref="C11:E11"/>
    <mergeCell ref="D12:F12"/>
    <mergeCell ref="C14:E14"/>
    <mergeCell ref="B8:C8"/>
    <mergeCell ref="C13:E13"/>
    <mergeCell ref="C15:E15"/>
    <mergeCell ref="B1:F1"/>
    <mergeCell ref="B2:D2"/>
    <mergeCell ref="B4:F4"/>
    <mergeCell ref="B5:F5"/>
    <mergeCell ref="B6:C6"/>
    <mergeCell ref="D6:F6"/>
    <mergeCell ref="C41:D41"/>
    <mergeCell ref="C40:D40"/>
    <mergeCell ref="C42:D42"/>
    <mergeCell ref="C43:D43"/>
    <mergeCell ref="D22:F22"/>
    <mergeCell ref="C34:E34"/>
    <mergeCell ref="C36:E36"/>
    <mergeCell ref="C35:E35"/>
    <mergeCell ref="B74:F74"/>
    <mergeCell ref="C69:E69"/>
    <mergeCell ref="C71:E71"/>
    <mergeCell ref="C68:E68"/>
    <mergeCell ref="C70:E70"/>
    <mergeCell ref="C67:E67"/>
    <mergeCell ref="C63:E63"/>
    <mergeCell ref="B65:F65"/>
    <mergeCell ref="C44:D44"/>
    <mergeCell ref="C45:D45"/>
    <mergeCell ref="C46:D46"/>
    <mergeCell ref="C66:E66"/>
    <mergeCell ref="C59:E59"/>
    <mergeCell ref="C60:E60"/>
    <mergeCell ref="C61:E61"/>
    <mergeCell ref="C62:E62"/>
    <mergeCell ref="C51:E51"/>
    <mergeCell ref="C54:E54"/>
    <mergeCell ref="C55:E55"/>
    <mergeCell ref="C56:E56"/>
    <mergeCell ref="C50:E50"/>
    <mergeCell ref="B21:F21"/>
    <mergeCell ref="D23:F23"/>
    <mergeCell ref="C25:E25"/>
    <mergeCell ref="C24:E24"/>
    <mergeCell ref="C33:E33"/>
    <mergeCell ref="C29:E29"/>
    <mergeCell ref="C30:E30"/>
    <mergeCell ref="C31:E31"/>
    <mergeCell ref="C32:E32"/>
  </mergeCells>
  <dataValidations count="11">
    <dataValidation type="whole" allowBlank="1" showInputMessage="1" showErrorMessage="1" errorTitle="Erro na inserção de dados." error="O percentual de ISS deve estar entre 2 e 5%, conforme o inciso I do artigo 8º e o caput do art. 8º-A da Lei Complementar nº 116/2003." sqref="F71">
      <formula1>2</formula1>
      <formula2>5</formula2>
    </dataValidation>
    <dataValidation type="whole" errorStyle="warning" operator="equal" allowBlank="1" showInputMessage="1" showErrorMessage="1" errorTitle="Atentar para o percentual." error="Tem certeza que o percentual do Cofins é diferente de 3%, previsto no art. 31 da Lei nº 10.833/2003?" sqref="F70">
      <formula1>3</formula1>
    </dataValidation>
    <dataValidation type="decimal" errorStyle="warning" operator="equal" allowBlank="1" showInputMessage="1" showErrorMessage="1" errorTitle="Atentar para o percentual." error="Tem certeza que o percentual do PIS é diferente de 0,65%, previsto no art. 31 da Lei nº 10.833/2003?" sqref="F69">
      <formula1>0.65</formula1>
    </dataValidation>
    <dataValidation type="decimal" errorStyle="warning" allowBlank="1" showInputMessage="1" showErrorMessage="1" errorTitle="Erro na inserção de dados." error="O percentual recomendado de lucro é de 5,57%, conforme estudos realizados pela Auditoria Interna do MPU." sqref="F68">
      <formula1>0</formula1>
      <formula2>5.57</formula2>
    </dataValidation>
    <dataValidation type="decimal" errorStyle="warning" allowBlank="1" showInputMessage="1" showErrorMessage="1" errorTitle="Erro na inserção de dados." error="O percentual recomendado de custos indiretos é de 4,73%, conforme estudos realizados pela Auditoria Interna do MPU." sqref="F67">
      <formula1>0</formula1>
      <formula2>4.73</formula2>
    </dataValidation>
    <dataValidation type="decimal" errorStyle="warning" operator="greaterThanOrEqual" allowBlank="1" showInputMessage="1" showErrorMessage="1" errorTitle="Atentar para o valor do salário." error="Tem certeza que o valor do salário-base é menor do que o salário mínimo vigente no país?" sqref="F30">
      <formula1>F25</formula1>
    </dataValidation>
    <dataValidation type="list" operator="equal" allowBlank="1" showInputMessage="1" showErrorMessage="1" errorTitle="Erro na inserção de dados." error="De acordo com o art. 192 da CLT, estão previstos somente os percentuais de 40% (máximo), 20% (médio) ou 10% (mínimo), conforme for a exposição ao risco." sqref="F33">
      <formula1>"0,10,20,40"</formula1>
    </dataValidation>
    <dataValidation type="list" allowBlank="1" showInputMessage="1" showErrorMessage="1" errorTitle="Erro na inserção de dados." error="Somente estão previstos 15 dias (intercalados), no caso de postos 12x36 horas, ou 22 dias (úteis), no caso de postos 44 horas." sqref="F43">
      <formula1>"15,22"</formula1>
    </dataValidation>
    <dataValidation type="whole" errorStyle="warning" operator="equal" allowBlank="1" showInputMessage="1" showErrorMessage="1" errorTitle="Atenção para a inclusão do item." error="Tem certeza que deseja incluir este item de custo e que o tempo de intervalo está de acordo com o previsto na CCT da categoria?" promptTitle="Intervalo Intrajornada" prompt="Segundo estudos da Audin-MPU, esse item não é usual nas planilhas do MPU. Verifique se realmente há necessidade de incluí-lo." sqref="F56">
      <formula1>0</formula1>
    </dataValidation>
    <dataValidation type="whole" errorStyle="warning" operator="equal" allowBlank="1" showInputMessage="1" showErrorMessage="1" errorTitle="Atenção para a inclusão do item." error="Tem certeza que deseja incluir este item de custo e que o percentual está de acordo com o previsto na CCT da categoria?" promptTitle="Intervalo Intrajornada" prompt="Segundo estudos da Audin-MPU, esse item não é usual nas planilhas do MPU. Verifique se realmente há necessidade de incluí-lo." sqref="F55">
      <formula1>0</formula1>
    </dataValidation>
    <dataValidation type="list" allowBlank="1" showInputMessage="1" showErrorMessage="1" sqref="F13">
      <formula1>"AC,AL,AP,AM,BA,CE,DF,ES,GO,MA,MG,MS,MT,PA,PB,PR,PE,PI,RJ,RN,RO,RR,RS,SC,SP,SE,TO"</formula1>
    </dataValidation>
  </dataValidations>
  <pageMargins left="0.17" right="0.17" top="0.46" bottom="0.33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22" workbookViewId="0">
      <selection activeCell="C22" sqref="C22:F22"/>
    </sheetView>
  </sheetViews>
  <sheetFormatPr defaultColWidth="9.109375" defaultRowHeight="16.8" x14ac:dyDescent="0.4"/>
  <cols>
    <col min="1" max="1" width="2.6640625" style="7" customWidth="1"/>
    <col min="2" max="2" width="8.88671875" style="7" customWidth="1"/>
    <col min="3" max="3" width="52.5546875" style="12" customWidth="1"/>
    <col min="4" max="4" width="9.5546875" style="12" customWidth="1"/>
    <col min="5" max="5" width="13.5546875" style="12" customWidth="1"/>
    <col min="6" max="6" width="15.44140625" style="12" bestFit="1" customWidth="1"/>
    <col min="7" max="16384" width="9.109375" style="7"/>
  </cols>
  <sheetData>
    <row r="1" spans="1:6" s="79" customFormat="1" ht="24.6" x14ac:dyDescent="0.55000000000000004">
      <c r="B1" s="95" t="s">
        <v>159</v>
      </c>
      <c r="C1" s="7"/>
      <c r="D1" s="7"/>
      <c r="E1" s="7"/>
      <c r="F1" s="7"/>
    </row>
    <row r="2" spans="1:6" x14ac:dyDescent="0.4">
      <c r="B2" s="44" t="s">
        <v>8</v>
      </c>
      <c r="E2" s="8"/>
      <c r="F2" s="8"/>
    </row>
    <row r="3" spans="1:6" ht="33.6" x14ac:dyDescent="0.4">
      <c r="B3" s="1">
        <v>1</v>
      </c>
      <c r="C3" s="111" t="s">
        <v>9</v>
      </c>
      <c r="D3" s="111"/>
      <c r="E3" s="111"/>
      <c r="F3" s="3" t="s">
        <v>179</v>
      </c>
    </row>
    <row r="4" spans="1:6" x14ac:dyDescent="0.4">
      <c r="B4" s="1" t="s">
        <v>6</v>
      </c>
      <c r="C4" s="116" t="s">
        <v>117</v>
      </c>
      <c r="D4" s="117"/>
      <c r="E4" s="118"/>
      <c r="F4" s="62">
        <v>220</v>
      </c>
    </row>
    <row r="5" spans="1:6" x14ac:dyDescent="0.4">
      <c r="B5" s="1" t="s">
        <v>7</v>
      </c>
      <c r="C5" s="153" t="s">
        <v>111</v>
      </c>
      <c r="D5" s="153"/>
      <c r="E5" s="153"/>
      <c r="F5" s="60">
        <v>7</v>
      </c>
    </row>
    <row r="6" spans="1:6" x14ac:dyDescent="0.4">
      <c r="B6" s="1" t="s">
        <v>10</v>
      </c>
      <c r="C6" s="116" t="s">
        <v>110</v>
      </c>
      <c r="D6" s="117"/>
      <c r="E6" s="118"/>
      <c r="F6" s="62">
        <v>365</v>
      </c>
    </row>
    <row r="7" spans="1:6" x14ac:dyDescent="0.4">
      <c r="B7" s="1" t="s">
        <v>12</v>
      </c>
      <c r="C7" s="153" t="s">
        <v>136</v>
      </c>
      <c r="D7" s="153"/>
      <c r="E7" s="153"/>
      <c r="F7" s="61">
        <v>15.2</v>
      </c>
    </row>
    <row r="8" spans="1:6" x14ac:dyDescent="0.4">
      <c r="B8" s="1" t="s">
        <v>116</v>
      </c>
      <c r="C8" s="116" t="s">
        <v>118</v>
      </c>
      <c r="D8" s="117"/>
      <c r="E8" s="118"/>
      <c r="F8" s="62">
        <v>12</v>
      </c>
    </row>
    <row r="9" spans="1:6" x14ac:dyDescent="0.4">
      <c r="B9" s="1" t="s">
        <v>123</v>
      </c>
      <c r="C9" s="153" t="s">
        <v>112</v>
      </c>
      <c r="D9" s="153"/>
      <c r="E9" s="153"/>
      <c r="F9" s="60">
        <v>60</v>
      </c>
    </row>
    <row r="10" spans="1:6" x14ac:dyDescent="0.4">
      <c r="B10" s="1" t="s">
        <v>124</v>
      </c>
      <c r="C10" s="116" t="s">
        <v>113</v>
      </c>
      <c r="D10" s="117"/>
      <c r="E10" s="118"/>
      <c r="F10" s="63">
        <v>52.5</v>
      </c>
    </row>
    <row r="11" spans="1:6" s="86" customFormat="1" x14ac:dyDescent="0.4"/>
    <row r="12" spans="1:6" s="86" customFormat="1" x14ac:dyDescent="0.4">
      <c r="A12" s="7"/>
      <c r="B12" s="44" t="s">
        <v>63</v>
      </c>
      <c r="C12" s="79"/>
      <c r="D12" s="79"/>
      <c r="E12" s="79"/>
      <c r="F12" s="79"/>
    </row>
    <row r="13" spans="1:6" s="86" customFormat="1" ht="15" customHeight="1" x14ac:dyDescent="0.4">
      <c r="A13" s="7"/>
      <c r="B13" s="1" t="s">
        <v>83</v>
      </c>
      <c r="C13" s="137" t="s">
        <v>14</v>
      </c>
      <c r="D13" s="138"/>
      <c r="E13" s="3" t="s">
        <v>34</v>
      </c>
      <c r="F13" s="3" t="s">
        <v>1</v>
      </c>
    </row>
    <row r="14" spans="1:6" s="86" customFormat="1" x14ac:dyDescent="0.4">
      <c r="B14" s="74" t="s">
        <v>4</v>
      </c>
      <c r="C14" s="106" t="s">
        <v>137</v>
      </c>
      <c r="D14" s="106"/>
      <c r="E14" s="23" t="s">
        <v>135</v>
      </c>
      <c r="F14" s="65">
        <v>6</v>
      </c>
    </row>
    <row r="15" spans="1:6" s="86" customFormat="1" x14ac:dyDescent="0.4"/>
    <row r="16" spans="1:6" s="79" customFormat="1" x14ac:dyDescent="0.4">
      <c r="A16" s="86"/>
      <c r="B16" s="44" t="s">
        <v>64</v>
      </c>
      <c r="C16" s="6"/>
      <c r="D16" s="15"/>
      <c r="E16" s="13"/>
      <c r="F16" s="13"/>
    </row>
    <row r="17" spans="1:6" s="79" customFormat="1" x14ac:dyDescent="0.4">
      <c r="A17" s="86"/>
      <c r="B17" s="1">
        <v>3</v>
      </c>
      <c r="C17" s="123" t="s">
        <v>44</v>
      </c>
      <c r="D17" s="124"/>
      <c r="E17" s="125"/>
      <c r="F17" s="3" t="s">
        <v>180</v>
      </c>
    </row>
    <row r="18" spans="1:6" s="79" customFormat="1" x14ac:dyDescent="0.4">
      <c r="A18" s="86"/>
      <c r="B18" s="1" t="s">
        <v>2</v>
      </c>
      <c r="C18" s="116" t="s">
        <v>131</v>
      </c>
      <c r="D18" s="117"/>
      <c r="E18" s="118"/>
      <c r="F18" s="48">
        <v>62.93</v>
      </c>
    </row>
    <row r="19" spans="1:6" x14ac:dyDescent="0.4">
      <c r="A19" s="86"/>
      <c r="B19" s="2" t="s">
        <v>3</v>
      </c>
      <c r="C19" s="154" t="s">
        <v>120</v>
      </c>
      <c r="D19" s="155"/>
      <c r="E19" s="156"/>
      <c r="F19" s="30">
        <v>5.55</v>
      </c>
    </row>
    <row r="20" spans="1:6" s="79" customFormat="1" ht="15.9" customHeight="1" x14ac:dyDescent="0.25">
      <c r="B20" s="2" t="s">
        <v>4</v>
      </c>
      <c r="C20" s="116" t="s">
        <v>121</v>
      </c>
      <c r="D20" s="117"/>
      <c r="E20" s="118"/>
      <c r="F20" s="64">
        <v>40</v>
      </c>
    </row>
    <row r="21" spans="1:6" ht="16.5" customHeight="1" x14ac:dyDescent="0.4">
      <c r="A21" s="86"/>
      <c r="B21" s="2" t="s">
        <v>5</v>
      </c>
      <c r="C21" s="154" t="s">
        <v>122</v>
      </c>
      <c r="D21" s="155"/>
      <c r="E21" s="156"/>
      <c r="F21" s="65">
        <v>94.45</v>
      </c>
    </row>
    <row r="22" spans="1:6" x14ac:dyDescent="0.4">
      <c r="A22" s="86"/>
      <c r="B22" s="2" t="s">
        <v>6</v>
      </c>
      <c r="C22" s="116" t="s">
        <v>133</v>
      </c>
      <c r="D22" s="117"/>
      <c r="E22" s="118"/>
      <c r="F22" s="64">
        <v>30</v>
      </c>
    </row>
    <row r="23" spans="1:6" s="86" customFormat="1" x14ac:dyDescent="0.4"/>
    <row r="24" spans="1:6" s="79" customFormat="1" x14ac:dyDescent="0.4">
      <c r="B24" s="44" t="s">
        <v>65</v>
      </c>
      <c r="C24" s="6"/>
      <c r="D24" s="15"/>
      <c r="E24" s="7"/>
      <c r="F24" s="7"/>
    </row>
    <row r="25" spans="1:6" s="79" customFormat="1" ht="15" customHeight="1" x14ac:dyDescent="0.4">
      <c r="B25" s="44" t="s">
        <v>95</v>
      </c>
      <c r="C25" s="6"/>
      <c r="D25" s="15"/>
      <c r="E25" s="13"/>
      <c r="F25" s="13"/>
    </row>
    <row r="26" spans="1:6" s="79" customFormat="1" x14ac:dyDescent="0.25">
      <c r="B26" s="1" t="s">
        <v>20</v>
      </c>
      <c r="C26" s="133" t="s">
        <v>96</v>
      </c>
      <c r="D26" s="134"/>
      <c r="E26" s="135"/>
      <c r="F26" s="3" t="s">
        <v>180</v>
      </c>
    </row>
    <row r="27" spans="1:6" s="79" customFormat="1" x14ac:dyDescent="0.25">
      <c r="B27" s="1" t="s">
        <v>2</v>
      </c>
      <c r="C27" s="116" t="s">
        <v>125</v>
      </c>
      <c r="D27" s="117"/>
      <c r="E27" s="118"/>
      <c r="F27" s="64">
        <v>8</v>
      </c>
    </row>
    <row r="28" spans="1:6" x14ac:dyDescent="0.4">
      <c r="A28" s="79"/>
      <c r="B28" s="2" t="s">
        <v>3</v>
      </c>
      <c r="C28" s="113" t="s">
        <v>126</v>
      </c>
      <c r="D28" s="114"/>
      <c r="E28" s="115"/>
      <c r="F28" s="65">
        <v>20</v>
      </c>
    </row>
    <row r="29" spans="1:6" x14ac:dyDescent="0.4">
      <c r="A29" s="79"/>
      <c r="B29" s="2" t="s">
        <v>4</v>
      </c>
      <c r="C29" s="116" t="s">
        <v>127</v>
      </c>
      <c r="D29" s="117"/>
      <c r="E29" s="118"/>
      <c r="F29" s="48">
        <v>1.42</v>
      </c>
    </row>
    <row r="30" spans="1:6" x14ac:dyDescent="0.4">
      <c r="A30" s="79"/>
      <c r="B30" s="2" t="s">
        <v>5</v>
      </c>
      <c r="C30" s="113" t="s">
        <v>169</v>
      </c>
      <c r="D30" s="114"/>
      <c r="E30" s="115"/>
      <c r="F30" s="30">
        <v>45.22</v>
      </c>
    </row>
    <row r="31" spans="1:6" s="79" customFormat="1" ht="15.9" customHeight="1" x14ac:dyDescent="0.4">
      <c r="A31" s="7"/>
      <c r="B31" s="2" t="s">
        <v>6</v>
      </c>
      <c r="C31" s="116" t="s">
        <v>129</v>
      </c>
      <c r="D31" s="117"/>
      <c r="E31" s="118"/>
      <c r="F31" s="48">
        <f>(154800/34808000)*100</f>
        <v>0.44</v>
      </c>
    </row>
    <row r="32" spans="1:6" ht="15.75" customHeight="1" x14ac:dyDescent="0.4">
      <c r="A32" s="79"/>
      <c r="B32" s="2" t="s">
        <v>7</v>
      </c>
      <c r="C32" s="113" t="s">
        <v>134</v>
      </c>
      <c r="D32" s="114"/>
      <c r="E32" s="115"/>
      <c r="F32" s="65">
        <v>15</v>
      </c>
    </row>
    <row r="33" spans="1:6" ht="15.75" customHeight="1" x14ac:dyDescent="0.4">
      <c r="A33" s="79"/>
      <c r="B33" s="2" t="s">
        <v>10</v>
      </c>
      <c r="C33" s="116" t="s">
        <v>130</v>
      </c>
      <c r="D33" s="117"/>
      <c r="E33" s="118"/>
      <c r="F33" s="64">
        <v>180</v>
      </c>
    </row>
    <row r="34" spans="1:6" x14ac:dyDescent="0.4">
      <c r="A34" s="79"/>
      <c r="B34" s="2" t="s">
        <v>11</v>
      </c>
      <c r="C34" s="113" t="s">
        <v>170</v>
      </c>
      <c r="D34" s="114"/>
      <c r="E34" s="115"/>
      <c r="F34" s="30">
        <v>54.78</v>
      </c>
    </row>
    <row r="35" spans="1:6" s="86" customFormat="1" ht="8.25" customHeight="1" x14ac:dyDescent="0.4"/>
    <row r="36" spans="1:6" x14ac:dyDescent="0.4">
      <c r="B36" s="44" t="s">
        <v>66</v>
      </c>
      <c r="C36" s="6"/>
      <c r="D36" s="15"/>
      <c r="E36" s="13"/>
      <c r="F36" s="13"/>
    </row>
    <row r="37" spans="1:6" x14ac:dyDescent="0.4">
      <c r="B37" s="1" t="s">
        <v>21</v>
      </c>
      <c r="C37" s="132" t="s">
        <v>67</v>
      </c>
      <c r="D37" s="132"/>
      <c r="E37" s="132"/>
      <c r="F37" s="3" t="s">
        <v>181</v>
      </c>
    </row>
    <row r="38" spans="1:6" x14ac:dyDescent="0.4">
      <c r="B38" s="1" t="s">
        <v>2</v>
      </c>
      <c r="C38" s="112" t="s">
        <v>119</v>
      </c>
      <c r="D38" s="112"/>
      <c r="E38" s="112"/>
      <c r="F38" s="62">
        <f>PERC_HORA_EXTRA</f>
        <v>0</v>
      </c>
    </row>
    <row r="39" spans="1:6" ht="15" customHeight="1" x14ac:dyDescent="0.4">
      <c r="B39" s="1" t="s">
        <v>3</v>
      </c>
      <c r="C39" s="113" t="s">
        <v>128</v>
      </c>
      <c r="D39" s="114"/>
      <c r="E39" s="115"/>
      <c r="F39" s="60">
        <f>TEMPO_INTERVALO_REFEICAO</f>
        <v>0</v>
      </c>
    </row>
    <row r="40" spans="1:6" s="86" customFormat="1" x14ac:dyDescent="0.4"/>
    <row r="41" spans="1:6" ht="20.399999999999999" x14ac:dyDescent="0.4">
      <c r="B41" s="27" t="s">
        <v>150</v>
      </c>
      <c r="C41" s="28"/>
      <c r="D41" s="28"/>
      <c r="E41" s="28"/>
      <c r="F41" s="29"/>
    </row>
    <row r="42" spans="1:6" ht="33.75" customHeight="1" x14ac:dyDescent="0.4">
      <c r="B42" s="136" t="s">
        <v>174</v>
      </c>
      <c r="C42" s="136"/>
      <c r="D42" s="136"/>
      <c r="E42" s="136"/>
      <c r="F42" s="136"/>
    </row>
  </sheetData>
  <sheetProtection sheet="1" objects="1" scenarios="1"/>
  <mergeCells count="29">
    <mergeCell ref="B42:F42"/>
    <mergeCell ref="C34:E34"/>
    <mergeCell ref="C37:E37"/>
    <mergeCell ref="C38:E38"/>
    <mergeCell ref="C39:E39"/>
    <mergeCell ref="C33:E33"/>
    <mergeCell ref="C20:E20"/>
    <mergeCell ref="C21:E21"/>
    <mergeCell ref="C22:E22"/>
    <mergeCell ref="C26:E26"/>
    <mergeCell ref="C27:E27"/>
    <mergeCell ref="C28:E28"/>
    <mergeCell ref="C29:E29"/>
    <mergeCell ref="C30:E30"/>
    <mergeCell ref="C31:E31"/>
    <mergeCell ref="C32:E32"/>
    <mergeCell ref="C17:E17"/>
    <mergeCell ref="C18:E18"/>
    <mergeCell ref="C19:E19"/>
    <mergeCell ref="C13:D13"/>
    <mergeCell ref="C14:D14"/>
    <mergeCell ref="C10:E10"/>
    <mergeCell ref="C3:E3"/>
    <mergeCell ref="C4:E4"/>
    <mergeCell ref="C5:E5"/>
    <mergeCell ref="C6:E6"/>
    <mergeCell ref="C7:E7"/>
    <mergeCell ref="C8:E8"/>
    <mergeCell ref="C9:E9"/>
  </mergeCells>
  <dataValidations count="1">
    <dataValidation allowBlank="1" showInputMessage="1" showErrorMessage="1" promptTitle="Intervalo Intrajornada" prompt="Segundo estudos da Audin-MPU, esse item não é usual nas planilhas do MPU. Verifique se realmente há necessidade de incluí-lo." sqref="F38:F39"/>
  </dataValidation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4"/>
  <sheetViews>
    <sheetView topLeftCell="A16" workbookViewId="0">
      <selection activeCell="C39" sqref="C39"/>
    </sheetView>
  </sheetViews>
  <sheetFormatPr defaultColWidth="9.109375" defaultRowHeight="16.8" x14ac:dyDescent="0.4"/>
  <cols>
    <col min="1" max="1" width="2.6640625" style="7" customWidth="1"/>
    <col min="2" max="2" width="8.88671875" style="7" customWidth="1"/>
    <col min="3" max="3" width="52.5546875" style="12" customWidth="1"/>
    <col min="4" max="4" width="22" style="12" customWidth="1"/>
    <col min="5" max="5" width="13.5546875" style="12" customWidth="1"/>
    <col min="6" max="6" width="43.88671875" style="7" customWidth="1"/>
    <col min="7" max="7" width="51.6640625" style="7" customWidth="1"/>
    <col min="8" max="16384" width="9.109375" style="7"/>
  </cols>
  <sheetData>
    <row r="1" spans="2:7" s="79" customFormat="1" ht="24.6" x14ac:dyDescent="0.55000000000000004">
      <c r="B1" s="95" t="s">
        <v>160</v>
      </c>
      <c r="C1" s="7"/>
      <c r="D1" s="7"/>
      <c r="E1" s="7"/>
      <c r="F1" s="7"/>
      <c r="G1" s="7"/>
    </row>
    <row r="2" spans="2:7" x14ac:dyDescent="0.4">
      <c r="B2" s="44" t="s">
        <v>58</v>
      </c>
      <c r="E2" s="14"/>
    </row>
    <row r="3" spans="2:7" x14ac:dyDescent="0.4">
      <c r="B3" s="44" t="s">
        <v>103</v>
      </c>
      <c r="C3" s="6"/>
      <c r="D3" s="15"/>
      <c r="E3" s="13"/>
    </row>
    <row r="4" spans="2:7" x14ac:dyDescent="0.4">
      <c r="B4" s="1" t="s">
        <v>59</v>
      </c>
      <c r="C4" s="132" t="s">
        <v>86</v>
      </c>
      <c r="D4" s="132"/>
      <c r="E4" s="3" t="s">
        <v>1</v>
      </c>
      <c r="F4" s="3" t="s">
        <v>161</v>
      </c>
    </row>
    <row r="5" spans="2:7" x14ac:dyDescent="0.4">
      <c r="B5" s="1" t="s">
        <v>2</v>
      </c>
      <c r="C5" s="159" t="s">
        <v>43</v>
      </c>
      <c r="D5" s="159"/>
      <c r="E5" s="49">
        <f>(1/MESES_NO_ANO)*100</f>
        <v>8.33</v>
      </c>
      <c r="F5" s="49" t="s">
        <v>162</v>
      </c>
    </row>
    <row r="6" spans="2:7" x14ac:dyDescent="0.4">
      <c r="B6" s="2" t="s">
        <v>3</v>
      </c>
      <c r="C6" s="160" t="s">
        <v>88</v>
      </c>
      <c r="D6" s="160"/>
      <c r="E6" s="32">
        <f>(1/3)/MESES_NO_ANO*100</f>
        <v>2.78</v>
      </c>
      <c r="F6" s="32" t="s">
        <v>163</v>
      </c>
    </row>
    <row r="7" spans="2:7" s="86" customFormat="1" x14ac:dyDescent="0.4">
      <c r="B7" s="161" t="s">
        <v>60</v>
      </c>
      <c r="C7" s="161"/>
      <c r="D7" s="161"/>
      <c r="E7" s="161"/>
      <c r="F7" s="161"/>
    </row>
    <row r="8" spans="2:7" s="86" customFormat="1" ht="34.5" customHeight="1" x14ac:dyDescent="0.4">
      <c r="B8" s="1" t="s">
        <v>61</v>
      </c>
      <c r="C8" s="162" t="s">
        <v>89</v>
      </c>
      <c r="D8" s="162"/>
      <c r="E8" s="3" t="s">
        <v>1</v>
      </c>
    </row>
    <row r="9" spans="2:7" x14ac:dyDescent="0.4">
      <c r="B9" s="1" t="s">
        <v>2</v>
      </c>
      <c r="C9" s="159" t="s">
        <v>37</v>
      </c>
      <c r="D9" s="159"/>
      <c r="E9" s="49">
        <v>20</v>
      </c>
    </row>
    <row r="10" spans="2:7" s="79" customFormat="1" x14ac:dyDescent="0.25">
      <c r="B10" s="2" t="s">
        <v>3</v>
      </c>
      <c r="C10" s="160" t="s">
        <v>39</v>
      </c>
      <c r="D10" s="160"/>
      <c r="E10" s="39">
        <v>2.5</v>
      </c>
    </row>
    <row r="11" spans="2:7" s="79" customFormat="1" x14ac:dyDescent="0.25">
      <c r="B11" s="2" t="s">
        <v>4</v>
      </c>
      <c r="C11" s="159" t="s">
        <v>82</v>
      </c>
      <c r="D11" s="159"/>
      <c r="E11" s="49">
        <v>3</v>
      </c>
    </row>
    <row r="12" spans="2:7" s="79" customFormat="1" x14ac:dyDescent="0.25">
      <c r="B12" s="2" t="s">
        <v>5</v>
      </c>
      <c r="C12" s="160" t="s">
        <v>80</v>
      </c>
      <c r="D12" s="160"/>
      <c r="E12" s="32">
        <v>1.5</v>
      </c>
    </row>
    <row r="13" spans="2:7" s="79" customFormat="1" x14ac:dyDescent="0.25">
      <c r="B13" s="2" t="s">
        <v>6</v>
      </c>
      <c r="C13" s="159" t="s">
        <v>81</v>
      </c>
      <c r="D13" s="159"/>
      <c r="E13" s="49">
        <v>1</v>
      </c>
    </row>
    <row r="14" spans="2:7" s="79" customFormat="1" x14ac:dyDescent="0.25">
      <c r="B14" s="2" t="s">
        <v>7</v>
      </c>
      <c r="C14" s="160" t="s">
        <v>41</v>
      </c>
      <c r="D14" s="160"/>
      <c r="E14" s="39">
        <v>0.6</v>
      </c>
    </row>
    <row r="15" spans="2:7" s="79" customFormat="1" x14ac:dyDescent="0.25">
      <c r="B15" s="2" t="s">
        <v>10</v>
      </c>
      <c r="C15" s="159" t="s">
        <v>38</v>
      </c>
      <c r="D15" s="159"/>
      <c r="E15" s="49">
        <v>0.2</v>
      </c>
    </row>
    <row r="16" spans="2:7" x14ac:dyDescent="0.4">
      <c r="B16" s="2" t="s">
        <v>11</v>
      </c>
      <c r="C16" s="160" t="s">
        <v>40</v>
      </c>
      <c r="D16" s="160"/>
      <c r="E16" s="39">
        <v>8</v>
      </c>
    </row>
    <row r="17" spans="2:6" x14ac:dyDescent="0.4">
      <c r="B17" s="132" t="s">
        <v>42</v>
      </c>
      <c r="C17" s="132"/>
      <c r="D17" s="132"/>
      <c r="E17" s="33">
        <f>SUM(E9:E16)</f>
        <v>36.799999999999997</v>
      </c>
    </row>
    <row r="18" spans="2:6" s="86" customFormat="1" x14ac:dyDescent="0.4">
      <c r="B18" s="44" t="s">
        <v>64</v>
      </c>
      <c r="C18" s="6"/>
      <c r="D18" s="15"/>
      <c r="E18" s="13"/>
    </row>
    <row r="19" spans="2:6" s="86" customFormat="1" ht="15" customHeight="1" x14ac:dyDescent="0.4">
      <c r="B19" s="1">
        <v>3</v>
      </c>
      <c r="C19" s="132" t="s">
        <v>44</v>
      </c>
      <c r="D19" s="132"/>
      <c r="E19" s="3" t="s">
        <v>1</v>
      </c>
      <c r="F19" s="3" t="s">
        <v>161</v>
      </c>
    </row>
    <row r="20" spans="2:6" s="86" customFormat="1" x14ac:dyDescent="0.4">
      <c r="B20" s="1" t="s">
        <v>2</v>
      </c>
      <c r="C20" s="157" t="s">
        <v>45</v>
      </c>
      <c r="D20" s="157"/>
      <c r="E20" s="49">
        <f>PERC_EMPREG_DEMIT_SEM_JUSTA_CAUSA_TOTAL_DESLIG%*PERC_EMPREG_AVISO_PREVIO_IND%*1/MESES_NO_ANO*100</f>
        <v>0.28999999999999998</v>
      </c>
      <c r="F20" s="49" t="s">
        <v>164</v>
      </c>
    </row>
    <row r="21" spans="2:6" s="86" customFormat="1" x14ac:dyDescent="0.4">
      <c r="B21" s="2" t="s">
        <v>3</v>
      </c>
      <c r="C21" s="163" t="s">
        <v>46</v>
      </c>
      <c r="D21" s="163"/>
      <c r="E21" s="39">
        <f>PERC_EMPREG_DEMIT_SEM_JUSTA_CAUSA_TOTAL_DESLIG%*PERC_EMPREG_AVISO_PREVIO_TRAB%*(DIAS_NA_SEMANA/DIAS_NO_MES)/MESES_NO_ANO*100</f>
        <v>1.1599999999999999</v>
      </c>
      <c r="F21" s="32" t="s">
        <v>168</v>
      </c>
    </row>
    <row r="22" spans="2:6" s="79" customFormat="1" ht="16.5" customHeight="1" x14ac:dyDescent="0.25">
      <c r="B22" s="2" t="s">
        <v>4</v>
      </c>
      <c r="C22" s="157" t="s">
        <v>183</v>
      </c>
      <c r="D22" s="157"/>
      <c r="E22" s="49">
        <f>ROUNDUP(PERC_AVISO_PREVIO_TRAB%*(PERC_MULTA_FGTS%)*PERC_FGTS%*100,2)</f>
        <v>0.04</v>
      </c>
      <c r="F22" s="49" t="s">
        <v>182</v>
      </c>
    </row>
    <row r="23" spans="2:6" s="79" customFormat="1" ht="15.9" customHeight="1" x14ac:dyDescent="0.4">
      <c r="B23" s="44" t="s">
        <v>65</v>
      </c>
      <c r="C23" s="6"/>
      <c r="D23" s="15"/>
      <c r="E23" s="7"/>
    </row>
    <row r="24" spans="2:6" s="79" customFormat="1" ht="15.9" customHeight="1" x14ac:dyDescent="0.4">
      <c r="B24" s="44" t="s">
        <v>95</v>
      </c>
      <c r="C24" s="6"/>
      <c r="D24" s="15"/>
      <c r="E24" s="13"/>
    </row>
    <row r="25" spans="2:6" s="79" customFormat="1" x14ac:dyDescent="0.25">
      <c r="B25" s="1" t="s">
        <v>20</v>
      </c>
      <c r="C25" s="158" t="s">
        <v>96</v>
      </c>
      <c r="D25" s="158"/>
      <c r="E25" s="3" t="s">
        <v>1</v>
      </c>
      <c r="F25" s="3" t="s">
        <v>161</v>
      </c>
    </row>
    <row r="26" spans="2:6" s="79" customFormat="1" ht="15.9" customHeight="1" x14ac:dyDescent="0.25">
      <c r="B26" s="2" t="s">
        <v>2</v>
      </c>
      <c r="C26" s="159" t="s">
        <v>97</v>
      </c>
      <c r="D26" s="159"/>
      <c r="E26" s="49">
        <f>(1/MESES_NO_ANO)*100</f>
        <v>8.33</v>
      </c>
      <c r="F26" s="49" t="s">
        <v>165</v>
      </c>
    </row>
    <row r="27" spans="2:6" s="79" customFormat="1" ht="15.9" customHeight="1" x14ac:dyDescent="0.25">
      <c r="B27" s="2" t="s">
        <v>3</v>
      </c>
      <c r="C27" s="76" t="s">
        <v>98</v>
      </c>
      <c r="D27" s="76"/>
      <c r="E27" s="39">
        <f>(DIAS_AUSENCIAS_LEGAIS/DIAS_NO_MES)/MESES_NO_ANO*100</f>
        <v>2.2200000000000002</v>
      </c>
      <c r="F27" s="32" t="s">
        <v>166</v>
      </c>
    </row>
    <row r="28" spans="2:6" s="79" customFormat="1" ht="15.9" customHeight="1" x14ac:dyDescent="0.25">
      <c r="B28" s="2" t="s">
        <v>4</v>
      </c>
      <c r="C28" s="159" t="s">
        <v>99</v>
      </c>
      <c r="D28" s="159"/>
      <c r="E28" s="49">
        <f>(((DIAS_LICENCA_PATERNIDADE/DIAS_NO_MES)/MESES_NO_ANO)*PERC_NASCIDOS_VIVOS_POPUL_FEM%*PERC_PARTIC_MASC_VIGIL%)*100</f>
        <v>0.04</v>
      </c>
      <c r="F28" s="49" t="s">
        <v>171</v>
      </c>
    </row>
    <row r="29" spans="2:6" s="79" customFormat="1" x14ac:dyDescent="0.25">
      <c r="B29" s="2" t="s">
        <v>5</v>
      </c>
      <c r="C29" s="160" t="s">
        <v>100</v>
      </c>
      <c r="D29" s="160"/>
      <c r="E29" s="39">
        <f>(DIAS_PAGOS_EMPRESA_ACID_TRAB/DIAS_NO_MES)/MESES_NO_ANO*PERC_EMPREG_AFAST_TRAB%*100</f>
        <v>0.02</v>
      </c>
      <c r="F29" s="32" t="s">
        <v>167</v>
      </c>
    </row>
    <row r="30" spans="2:6" s="79" customFormat="1" x14ac:dyDescent="0.25">
      <c r="B30" s="2" t="s">
        <v>6</v>
      </c>
      <c r="C30" s="159" t="s">
        <v>101</v>
      </c>
      <c r="D30" s="159"/>
      <c r="E30" s="49">
        <f>(((DIAS_LICENCA_MATERNIDADE/DIAS_NO_MES)/MESES_NO_ANO)*PERC_NASCIDOS_VIVOS_POPUL_FEM%*PERC_PARTIC_FEM_VIGIL%*PERC_GPS_FGTS%*100)</f>
        <v>0.14000000000000001</v>
      </c>
      <c r="F30" s="49" t="s">
        <v>172</v>
      </c>
    </row>
    <row r="31" spans="2:6" s="79" customFormat="1" x14ac:dyDescent="0.25">
      <c r="B31" s="2" t="s">
        <v>7</v>
      </c>
      <c r="C31" s="160" t="str">
        <f>OUTRAS_AUSENCIAS_DESCRICAO</f>
        <v>Outras Ausências (Especificar - em %)</v>
      </c>
      <c r="D31" s="160"/>
      <c r="E31" s="39">
        <f>PERC_SUBSTITUTO_OUTRAS_AUSENCIAS</f>
        <v>0</v>
      </c>
      <c r="F31" s="32"/>
    </row>
    <row r="33" spans="2:7" ht="20.399999999999999" x14ac:dyDescent="0.4">
      <c r="B33" s="27" t="s">
        <v>150</v>
      </c>
    </row>
    <row r="34" spans="2:7" ht="42.75" customHeight="1" x14ac:dyDescent="0.4">
      <c r="B34" s="136" t="s">
        <v>174</v>
      </c>
      <c r="C34" s="136"/>
      <c r="D34" s="136"/>
      <c r="E34" s="136"/>
      <c r="G34" s="96"/>
    </row>
  </sheetData>
  <sheetProtection sheet="1" objects="1" scenarios="1"/>
  <mergeCells count="25">
    <mergeCell ref="B34:E34"/>
    <mergeCell ref="C31:D31"/>
    <mergeCell ref="C8:D8"/>
    <mergeCell ref="C9:D9"/>
    <mergeCell ref="C12:D12"/>
    <mergeCell ref="C13:D13"/>
    <mergeCell ref="C14:D14"/>
    <mergeCell ref="C15:D15"/>
    <mergeCell ref="C19:D19"/>
    <mergeCell ref="C20:D20"/>
    <mergeCell ref="C21:D21"/>
    <mergeCell ref="C16:D16"/>
    <mergeCell ref="B17:D17"/>
    <mergeCell ref="C28:D28"/>
    <mergeCell ref="C29:D29"/>
    <mergeCell ref="C30:D30"/>
    <mergeCell ref="C22:D22"/>
    <mergeCell ref="C25:D25"/>
    <mergeCell ref="C26:D26"/>
    <mergeCell ref="C4:D4"/>
    <mergeCell ref="C5:D5"/>
    <mergeCell ref="C6:D6"/>
    <mergeCell ref="C10:D10"/>
    <mergeCell ref="C11:D11"/>
    <mergeCell ref="B7:F7"/>
  </mergeCells>
  <dataValidations count="2">
    <dataValidation type="decimal" allowBlank="1" showInputMessage="1" showErrorMessage="1" errorTitle="Erro na inserção de dados." error="O percentual do Aviso Prévio Indenizado deverá ser inferior a 0,64%, conforme determinou o Tribunal de Contas da União por meio do Acórdão nº 1.904/2007 - Plenário." sqref="E20">
      <formula1>0</formula1>
      <formula2>0.46</formula2>
    </dataValidation>
    <dataValidation type="decimal" allowBlank="1" showInputMessage="1" showErrorMessage="1" errorTitle="Erro na inserção de dados." error="O percentual do Aviso Prévio Indenizado deverá ser inferior a 1,94%, conforme determinou o Tribunal de Contas da União por meio do Acórdão nº 1.904/2007 - Plenário." sqref="E21">
      <formula1>0</formula1>
      <formula2>1.94</formula2>
    </dataValidation>
  </dataValidations>
  <pageMargins left="0.18" right="0.17" top="0.1" bottom="0.03" header="0.14000000000000001" footer="0.04"/>
  <pageSetup paperSize="9" orientation="landscape" r:id="rId1"/>
  <ignoredErrors>
    <ignoredError sqref="E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5"/>
  <sheetViews>
    <sheetView tabSelected="1" zoomScaleNormal="100" zoomScaleSheetLayoutView="100" workbookViewId="0">
      <selection activeCell="F50" sqref="F50"/>
    </sheetView>
  </sheetViews>
  <sheetFormatPr defaultColWidth="9.109375" defaultRowHeight="16.8" x14ac:dyDescent="0.4"/>
  <cols>
    <col min="1" max="1" width="2.6640625" style="7" customWidth="1"/>
    <col min="2" max="2" width="8.88671875" style="7" customWidth="1"/>
    <col min="3" max="3" width="52.5546875" style="12" customWidth="1"/>
    <col min="4" max="4" width="7.88671875" style="12" customWidth="1"/>
    <col min="5" max="5" width="13.5546875" style="12" customWidth="1"/>
    <col min="6" max="6" width="15.44140625" style="12" bestFit="1" customWidth="1"/>
    <col min="7" max="16384" width="9.109375" style="7"/>
  </cols>
  <sheetData>
    <row r="1" spans="2:6" ht="20.399999999999999" x14ac:dyDescent="0.45">
      <c r="B1" s="164" t="str">
        <f>RAMO</f>
        <v>RAMO: CONSELHO NACIONAL DO MINISTÉRIO PÚBLICO</v>
      </c>
      <c r="C1" s="165"/>
      <c r="D1" s="165"/>
      <c r="E1" s="165"/>
      <c r="F1" s="166"/>
    </row>
    <row r="2" spans="2:6" ht="20.399999999999999" x14ac:dyDescent="0.45">
      <c r="B2" s="167" t="str">
        <f>UG</f>
        <v>UNIDADE GESTORA (SIGLA):</v>
      </c>
      <c r="C2" s="168"/>
      <c r="D2" s="169"/>
      <c r="E2" s="77" t="s">
        <v>50</v>
      </c>
      <c r="F2" s="78" t="str">
        <f>DATA_DO_ORCAMENTO_ESTIMATIVO</f>
        <v>XX/XX/20XX</v>
      </c>
    </row>
    <row r="3" spans="2:6" s="79" customFormat="1" ht="24.6" x14ac:dyDescent="0.55000000000000004">
      <c r="B3" s="142" t="s">
        <v>156</v>
      </c>
      <c r="C3" s="142"/>
      <c r="D3" s="142"/>
      <c r="E3" s="142"/>
      <c r="F3" s="142"/>
    </row>
    <row r="4" spans="2:6" s="79" customFormat="1" ht="15.9" customHeight="1" x14ac:dyDescent="0.4">
      <c r="B4" s="104" t="s">
        <v>90</v>
      </c>
      <c r="C4" s="104"/>
      <c r="D4" s="104"/>
      <c r="E4" s="104"/>
      <c r="F4" s="104"/>
    </row>
    <row r="5" spans="2:6" s="79" customFormat="1" ht="15.9" customHeight="1" x14ac:dyDescent="0.4">
      <c r="B5" s="143" t="s">
        <v>175</v>
      </c>
      <c r="C5" s="143"/>
      <c r="D5" s="170" t="str">
        <f>NUMERO_PROCESSO</f>
        <v>19.00.1500.0005776/2022-42</v>
      </c>
      <c r="E5" s="170"/>
      <c r="F5" s="170"/>
    </row>
    <row r="6" spans="2:6" s="79" customFormat="1" ht="15.75" customHeight="1" x14ac:dyDescent="0.4">
      <c r="B6" s="147" t="s">
        <v>176</v>
      </c>
      <c r="C6" s="147"/>
      <c r="D6" s="171" t="str">
        <f>MODALIDADE_DE_LICITACAO</f>
        <v>Pregão nº</v>
      </c>
      <c r="E6" s="171"/>
      <c r="F6" s="102" t="str">
        <f>NUMERO_PREGAO</f>
        <v>XX/20XX</v>
      </c>
    </row>
    <row r="7" spans="2:6" s="79" customFormat="1" ht="15.75" customHeight="1" x14ac:dyDescent="0.45">
      <c r="B7" s="172" t="s">
        <v>51</v>
      </c>
      <c r="C7" s="172"/>
      <c r="D7" s="172"/>
      <c r="E7" s="172"/>
      <c r="F7" s="172"/>
    </row>
    <row r="8" spans="2:6" s="79" customFormat="1" ht="18" customHeight="1" x14ac:dyDescent="0.4">
      <c r="B8" s="18" t="s">
        <v>2</v>
      </c>
      <c r="C8" s="143" t="s">
        <v>56</v>
      </c>
      <c r="D8" s="143"/>
      <c r="E8" s="143"/>
      <c r="F8" s="80" t="str">
        <f>DATA_APRESENTACAO_PROPOSTA</f>
        <v>XX/XX/20XX</v>
      </c>
    </row>
    <row r="9" spans="2:6" s="79" customFormat="1" ht="15.9" customHeight="1" x14ac:dyDescent="0.25">
      <c r="B9" s="1" t="s">
        <v>3</v>
      </c>
      <c r="C9" s="57" t="s">
        <v>32</v>
      </c>
      <c r="D9" s="173" t="str">
        <f>IF(LOCAL_DE_EXECUCAO="","",LOCAL_DE_EXECUCAO)</f>
        <v>CNMP</v>
      </c>
      <c r="E9" s="173"/>
      <c r="F9" s="173"/>
    </row>
    <row r="10" spans="2:6" s="79" customFormat="1" ht="18.75" customHeight="1" x14ac:dyDescent="0.4">
      <c r="B10" s="18" t="s">
        <v>4</v>
      </c>
      <c r="C10" s="143" t="s">
        <v>33</v>
      </c>
      <c r="D10" s="143"/>
      <c r="E10" s="143"/>
      <c r="F10" s="81" t="str">
        <f>ACORDO_COLETIVO</f>
        <v>01/2022</v>
      </c>
    </row>
    <row r="11" spans="2:6" s="79" customFormat="1" ht="15.9" customHeight="1" x14ac:dyDescent="0.4">
      <c r="B11" s="1" t="s">
        <v>5</v>
      </c>
      <c r="C11" s="173" t="s">
        <v>57</v>
      </c>
      <c r="D11" s="173"/>
      <c r="E11" s="173"/>
      <c r="F11" s="23">
        <f>NUMERO_MESES_EXEC_CONTRATUAL</f>
        <v>12</v>
      </c>
    </row>
    <row r="12" spans="2:6" s="79" customFormat="1" x14ac:dyDescent="0.4">
      <c r="B12" s="1" t="s">
        <v>6</v>
      </c>
      <c r="C12" s="174" t="s">
        <v>77</v>
      </c>
      <c r="D12" s="174"/>
      <c r="E12" s="174"/>
      <c r="F12" s="55">
        <f>IF(QTDE_POSTOS="","",QTDE_POSTOS)</f>
        <v>1</v>
      </c>
    </row>
    <row r="13" spans="2:6" s="84" customFormat="1" ht="15" customHeight="1" x14ac:dyDescent="0.25">
      <c r="B13" s="82" t="s">
        <v>151</v>
      </c>
      <c r="C13" s="83"/>
      <c r="D13" s="83"/>
      <c r="E13" s="83"/>
      <c r="F13" s="83"/>
    </row>
    <row r="14" spans="2:6" s="79" customFormat="1" x14ac:dyDescent="0.4">
      <c r="B14" s="18">
        <v>1</v>
      </c>
      <c r="C14" s="107" t="s">
        <v>53</v>
      </c>
      <c r="D14" s="107"/>
      <c r="E14" s="175" t="str">
        <f>IF(TIPO_DE_SERVICO="","",TIPO_DE_SERVICO)</f>
        <v>Fotógrafo residente</v>
      </c>
      <c r="F14" s="175"/>
    </row>
    <row r="15" spans="2:6" s="79" customFormat="1" x14ac:dyDescent="0.4">
      <c r="B15" s="18">
        <v>2</v>
      </c>
      <c r="C15" s="20" t="s">
        <v>52</v>
      </c>
      <c r="D15" s="176" t="str">
        <f>IF(CBO="","",CBO)</f>
        <v/>
      </c>
      <c r="E15" s="176"/>
      <c r="F15" s="176"/>
    </row>
    <row r="16" spans="2:6" s="79" customFormat="1" ht="15" customHeight="1" x14ac:dyDescent="0.4">
      <c r="B16" s="18">
        <v>3</v>
      </c>
      <c r="C16" s="98" t="s">
        <v>54</v>
      </c>
      <c r="D16" s="175" t="str">
        <f>IF(CATEGORIA_PROFISSIONAL="","",CATEGORIA_PROFISSIONAL)</f>
        <v/>
      </c>
      <c r="E16" s="175"/>
      <c r="F16" s="175"/>
    </row>
    <row r="17" spans="2:6" s="79" customFormat="1" ht="15" customHeight="1" x14ac:dyDescent="0.4">
      <c r="B17" s="18">
        <v>4</v>
      </c>
      <c r="C17" s="106" t="s">
        <v>55</v>
      </c>
      <c r="D17" s="106"/>
      <c r="E17" s="106"/>
      <c r="F17" s="99">
        <f>DATA_BASE_CATEGORIA</f>
        <v>44562</v>
      </c>
    </row>
    <row r="18" spans="2:6" s="85" customFormat="1" ht="20.25" customHeight="1" x14ac:dyDescent="0.4">
      <c r="B18" s="177" t="s">
        <v>36</v>
      </c>
      <c r="C18" s="177"/>
      <c r="D18" s="177"/>
      <c r="E18" s="177"/>
      <c r="F18" s="177"/>
    </row>
    <row r="19" spans="2:6" x14ac:dyDescent="0.4">
      <c r="B19" s="132" t="s">
        <v>48</v>
      </c>
      <c r="C19" s="132"/>
      <c r="D19" s="132"/>
      <c r="E19" s="132"/>
      <c r="F19" s="90">
        <f>IF(EMPREG_POR_POSTO="","",EMPREG_POR_POSTO)</f>
        <v>1</v>
      </c>
    </row>
    <row r="20" spans="2:6" x14ac:dyDescent="0.4">
      <c r="B20" s="44" t="s">
        <v>8</v>
      </c>
      <c r="E20" s="8"/>
      <c r="F20" s="8"/>
    </row>
    <row r="21" spans="2:6" x14ac:dyDescent="0.4">
      <c r="B21" s="1">
        <v>1</v>
      </c>
      <c r="C21" s="111" t="s">
        <v>9</v>
      </c>
      <c r="D21" s="111"/>
      <c r="E21" s="111"/>
      <c r="F21" s="3" t="s">
        <v>13</v>
      </c>
    </row>
    <row r="22" spans="2:6" x14ac:dyDescent="0.4">
      <c r="B22" s="1" t="s">
        <v>2</v>
      </c>
      <c r="C22" s="112" t="s">
        <v>85</v>
      </c>
      <c r="D22" s="112"/>
      <c r="E22" s="112"/>
      <c r="F22" s="47">
        <f>SALARIO_BASE</f>
        <v>6573.84</v>
      </c>
    </row>
    <row r="23" spans="2:6" x14ac:dyDescent="0.4">
      <c r="B23" s="1" t="s">
        <v>3</v>
      </c>
      <c r="C23" s="160" t="s">
        <v>87</v>
      </c>
      <c r="D23" s="160"/>
      <c r="E23" s="160"/>
      <c r="F23" s="4">
        <f>PERC_ADIC_PERIC%*SALARIO_BASE</f>
        <v>0</v>
      </c>
    </row>
    <row r="24" spans="2:6" ht="15.75" customHeight="1" x14ac:dyDescent="0.4">
      <c r="B24" s="1" t="s">
        <v>4</v>
      </c>
      <c r="C24" s="178" t="s">
        <v>75</v>
      </c>
      <c r="D24" s="178"/>
      <c r="E24" s="178"/>
      <c r="F24" s="47">
        <f>((AL_1_A_SAL_BASE+AL_1_B_ADIC_PERIC)/DIVISOR_DE_HORAS)*DIAS_NA_SEMANA*MEDIA_ANUAL_DIAS_TRABALHO_MES*PERC_ADIC_NOT%</f>
        <v>0</v>
      </c>
    </row>
    <row r="25" spans="2:6" ht="15.75" customHeight="1" x14ac:dyDescent="0.4">
      <c r="B25" s="1" t="s">
        <v>5</v>
      </c>
      <c r="C25" s="160" t="s">
        <v>79</v>
      </c>
      <c r="D25" s="160"/>
      <c r="E25" s="160"/>
      <c r="F25" s="4">
        <f>((AL_1_A_SAL_BASE+AL_1_B_ADIC_PERIC)/DIVISOR_DE_HORAS)*((HORA_NORMAL-HORA_NOTURNA)/HORA_NOTURNA)*DIAS_NA_SEMANA*MEDIA_ANUAL_DIAS_TRABALHO_MES*PERC_ADIC_NOT%</f>
        <v>0</v>
      </c>
    </row>
    <row r="26" spans="2:6" ht="15.75" customHeight="1" x14ac:dyDescent="0.4">
      <c r="B26" s="1" t="s">
        <v>6</v>
      </c>
      <c r="C26" s="116" t="s">
        <v>153</v>
      </c>
      <c r="D26" s="117"/>
      <c r="E26" s="118"/>
      <c r="F26" s="47">
        <f>PERC_ADIC_INS%*SAL_MINIMO</f>
        <v>0</v>
      </c>
    </row>
    <row r="27" spans="2:6" x14ac:dyDescent="0.4">
      <c r="B27" s="1" t="s">
        <v>7</v>
      </c>
      <c r="C27" s="108" t="str">
        <f>OUTROS_REMUNERACAO_1_DESCRICAO</f>
        <v>Outras Remunerações 1 (Especificar)</v>
      </c>
      <c r="D27" s="109"/>
      <c r="E27" s="110"/>
      <c r="F27" s="4">
        <f>OUTROS_REMUNERACAO_1</f>
        <v>0</v>
      </c>
    </row>
    <row r="28" spans="2:6" x14ac:dyDescent="0.4">
      <c r="B28" s="1" t="s">
        <v>10</v>
      </c>
      <c r="C28" s="179" t="str">
        <f>OUTROS_REMUNERACAO_2_DESCRICAO</f>
        <v>Outras Remunerações 2 (Especificar)</v>
      </c>
      <c r="D28" s="180"/>
      <c r="E28" s="181"/>
      <c r="F28" s="47">
        <f>OUTROS_REMUNERACAO_2</f>
        <v>0</v>
      </c>
    </row>
    <row r="29" spans="2:6" x14ac:dyDescent="0.4">
      <c r="B29" s="1" t="s">
        <v>11</v>
      </c>
      <c r="C29" s="108" t="str">
        <f>OUTROS_REMUNERACAO_3_DESCRICAO</f>
        <v>Outras Remunerações 3 (Especificar)</v>
      </c>
      <c r="D29" s="109"/>
      <c r="E29" s="110"/>
      <c r="F29" s="4">
        <f>OUTROS_REMUNERACAO_3</f>
        <v>0</v>
      </c>
    </row>
    <row r="30" spans="2:6" x14ac:dyDescent="0.4">
      <c r="B30" s="182" t="s">
        <v>42</v>
      </c>
      <c r="C30" s="182"/>
      <c r="D30" s="182"/>
      <c r="E30" s="182"/>
      <c r="F30" s="34">
        <f>SUM(F22:F29)</f>
        <v>6573.84</v>
      </c>
    </row>
    <row r="31" spans="2:6" x14ac:dyDescent="0.4">
      <c r="B31" s="44" t="s">
        <v>58</v>
      </c>
      <c r="E31" s="14"/>
      <c r="F31" s="14"/>
    </row>
    <row r="32" spans="2:6" x14ac:dyDescent="0.4">
      <c r="B32" s="44" t="s">
        <v>103</v>
      </c>
      <c r="C32" s="6"/>
      <c r="D32" s="15"/>
      <c r="E32" s="13"/>
      <c r="F32" s="13"/>
    </row>
    <row r="33" spans="2:6" x14ac:dyDescent="0.4">
      <c r="B33" s="1" t="s">
        <v>59</v>
      </c>
      <c r="C33" s="132" t="s">
        <v>86</v>
      </c>
      <c r="D33" s="132"/>
      <c r="E33" s="3" t="s">
        <v>1</v>
      </c>
      <c r="F33" s="3" t="s">
        <v>13</v>
      </c>
    </row>
    <row r="34" spans="2:6" x14ac:dyDescent="0.4">
      <c r="B34" s="1" t="s">
        <v>2</v>
      </c>
      <c r="C34" s="159" t="s">
        <v>43</v>
      </c>
      <c r="D34" s="159"/>
      <c r="E34" s="49">
        <f>PERC_DEC_TERC</f>
        <v>8.33</v>
      </c>
      <c r="F34" s="48">
        <f>PERC_DEC_TERC%*MOD_1_REMUNERACAO</f>
        <v>547.6</v>
      </c>
    </row>
    <row r="35" spans="2:6" x14ac:dyDescent="0.4">
      <c r="B35" s="2" t="s">
        <v>3</v>
      </c>
      <c r="C35" s="160" t="s">
        <v>88</v>
      </c>
      <c r="D35" s="160"/>
      <c r="E35" s="32">
        <f>PERC_ADIC_FERIAS</f>
        <v>2.78</v>
      </c>
      <c r="F35" s="30">
        <f>PERC_ADIC_FERIAS%*MOD_1_REMUNERACAO</f>
        <v>182.75</v>
      </c>
    </row>
    <row r="36" spans="2:6" s="86" customFormat="1" x14ac:dyDescent="0.4">
      <c r="B36" s="123" t="s">
        <v>42</v>
      </c>
      <c r="C36" s="124"/>
      <c r="D36" s="124"/>
      <c r="E36" s="125"/>
      <c r="F36" s="35">
        <f>SUM(F34:F35)</f>
        <v>730.35</v>
      </c>
    </row>
    <row r="37" spans="2:6" s="86" customFormat="1" ht="31.5" customHeight="1" x14ac:dyDescent="0.4">
      <c r="B37" s="183" t="s">
        <v>60</v>
      </c>
      <c r="C37" s="183"/>
      <c r="D37" s="183"/>
      <c r="E37" s="183"/>
      <c r="F37" s="183"/>
    </row>
    <row r="38" spans="2:6" s="86" customFormat="1" ht="34.5" customHeight="1" x14ac:dyDescent="0.4">
      <c r="B38" s="1" t="s">
        <v>61</v>
      </c>
      <c r="C38" s="162" t="s">
        <v>89</v>
      </c>
      <c r="D38" s="162"/>
      <c r="E38" s="3" t="s">
        <v>1</v>
      </c>
      <c r="F38" s="3" t="s">
        <v>13</v>
      </c>
    </row>
    <row r="39" spans="2:6" x14ac:dyDescent="0.4">
      <c r="B39" s="1" t="s">
        <v>2</v>
      </c>
      <c r="C39" s="159" t="s">
        <v>37</v>
      </c>
      <c r="D39" s="159"/>
      <c r="E39" s="49">
        <f>PERC_INSS</f>
        <v>20</v>
      </c>
      <c r="F39" s="48">
        <f>PERC_INSS%*(MOD_1_REMUNERACAO+SUBMOD_2_1_DEC_TERC_ADIC_FERIAS)</f>
        <v>1460.84</v>
      </c>
    </row>
    <row r="40" spans="2:6" s="79" customFormat="1" x14ac:dyDescent="0.25">
      <c r="B40" s="2" t="s">
        <v>3</v>
      </c>
      <c r="C40" s="160" t="s">
        <v>39</v>
      </c>
      <c r="D40" s="160"/>
      <c r="E40" s="39">
        <f>PERC_SAL_EDUCACAO</f>
        <v>2.5</v>
      </c>
      <c r="F40" s="30">
        <f>PERC_SAL_EDUCACAO%*(MOD_1_REMUNERACAO+SUBMOD_2_1_DEC_TERC_ADIC_FERIAS)</f>
        <v>182.6</v>
      </c>
    </row>
    <row r="41" spans="2:6" s="79" customFormat="1" x14ac:dyDescent="0.25">
      <c r="B41" s="2" t="s">
        <v>4</v>
      </c>
      <c r="C41" s="159" t="s">
        <v>82</v>
      </c>
      <c r="D41" s="159"/>
      <c r="E41" s="49">
        <f>PERC_RAT</f>
        <v>3</v>
      </c>
      <c r="F41" s="48">
        <f>PERC_RAT%*(MOD_1_REMUNERACAO+SUBMOD_2_1_DEC_TERC_ADIC_FERIAS)</f>
        <v>219.13</v>
      </c>
    </row>
    <row r="42" spans="2:6" s="79" customFormat="1" x14ac:dyDescent="0.25">
      <c r="B42" s="2" t="s">
        <v>5</v>
      </c>
      <c r="C42" s="160" t="s">
        <v>80</v>
      </c>
      <c r="D42" s="160"/>
      <c r="E42" s="32">
        <f>PERC_SESC</f>
        <v>1.5</v>
      </c>
      <c r="F42" s="30">
        <f>PERC_SESC%*(MOD_1_REMUNERACAO+SUBMOD_2_1_DEC_TERC_ADIC_FERIAS)</f>
        <v>109.56</v>
      </c>
    </row>
    <row r="43" spans="2:6" s="79" customFormat="1" x14ac:dyDescent="0.25">
      <c r="B43" s="2" t="s">
        <v>6</v>
      </c>
      <c r="C43" s="159" t="s">
        <v>81</v>
      </c>
      <c r="D43" s="159"/>
      <c r="E43" s="49">
        <f>PERC_SENAC</f>
        <v>1</v>
      </c>
      <c r="F43" s="48">
        <f>PERC_SENAC%*(MOD_1_REMUNERACAO+SUBMOD_2_1_DEC_TERC_ADIC_FERIAS)</f>
        <v>73.040000000000006</v>
      </c>
    </row>
    <row r="44" spans="2:6" s="79" customFormat="1" x14ac:dyDescent="0.25">
      <c r="B44" s="2" t="s">
        <v>7</v>
      </c>
      <c r="C44" s="160" t="s">
        <v>41</v>
      </c>
      <c r="D44" s="160"/>
      <c r="E44" s="39">
        <f>PERC_SEBRAE</f>
        <v>0.6</v>
      </c>
      <c r="F44" s="30">
        <f>PERC_SEBRAE%*(MOD_1_REMUNERACAO+SUBMOD_2_1_DEC_TERC_ADIC_FERIAS)</f>
        <v>43.83</v>
      </c>
    </row>
    <row r="45" spans="2:6" s="79" customFormat="1" x14ac:dyDescent="0.25">
      <c r="B45" s="2" t="s">
        <v>10</v>
      </c>
      <c r="C45" s="159" t="s">
        <v>38</v>
      </c>
      <c r="D45" s="159"/>
      <c r="E45" s="49">
        <f>PERC_INCRA</f>
        <v>0.2</v>
      </c>
      <c r="F45" s="48">
        <f>PERC_INCRA%*(MOD_1_REMUNERACAO+SUBMOD_2_1_DEC_TERC_ADIC_FERIAS)</f>
        <v>14.61</v>
      </c>
    </row>
    <row r="46" spans="2:6" x14ac:dyDescent="0.4">
      <c r="B46" s="2" t="s">
        <v>11</v>
      </c>
      <c r="C46" s="160" t="s">
        <v>40</v>
      </c>
      <c r="D46" s="160"/>
      <c r="E46" s="39">
        <f>PERC_FGTS</f>
        <v>8</v>
      </c>
      <c r="F46" s="30">
        <f>PERC_FGTS%*(MOD_1_REMUNERACAO+SUBMOD_2_1_DEC_TERC_ADIC_FERIAS)</f>
        <v>584.34</v>
      </c>
    </row>
    <row r="47" spans="2:6" x14ac:dyDescent="0.4">
      <c r="B47" s="123" t="s">
        <v>42</v>
      </c>
      <c r="C47" s="124"/>
      <c r="D47" s="124"/>
      <c r="E47" s="125"/>
      <c r="F47" s="36">
        <f>SUM(F39:F46)</f>
        <v>2687.95</v>
      </c>
    </row>
    <row r="48" spans="2:6" ht="15.75" customHeight="1" x14ac:dyDescent="0.4">
      <c r="B48" s="44" t="s">
        <v>63</v>
      </c>
      <c r="C48" s="79"/>
      <c r="D48" s="79"/>
      <c r="E48" s="79"/>
      <c r="F48" s="79"/>
    </row>
    <row r="49" spans="2:6" ht="15.75" customHeight="1" x14ac:dyDescent="0.4">
      <c r="B49" s="1" t="s">
        <v>83</v>
      </c>
      <c r="C49" s="111" t="s">
        <v>14</v>
      </c>
      <c r="D49" s="111"/>
      <c r="E49" s="111"/>
      <c r="F49" s="3" t="s">
        <v>13</v>
      </c>
    </row>
    <row r="50" spans="2:6" x14ac:dyDescent="0.4">
      <c r="B50" s="18" t="s">
        <v>2</v>
      </c>
      <c r="C50" s="159" t="s">
        <v>15</v>
      </c>
      <c r="D50" s="159"/>
      <c r="E50" s="159"/>
      <c r="F50" s="48">
        <f>IF(((TRANSPORTE_POR_DIA*DIAS_TRABALHADOS_NO_MES)-(PERC_DESC_TRANSP_REMUNERACAO%*(AL_1_A_SAL_BASE)))&gt;0,((TRANSPORTE_POR_DIA*DIAS_TRABALHADOS_NO_MES)-(PERC_DESC_TRANSP_REMUNERACAO%*(AL_1_A_SAL_BASE/2))),0)</f>
        <v>0</v>
      </c>
    </row>
    <row r="51" spans="2:6" s="86" customFormat="1" x14ac:dyDescent="0.4">
      <c r="B51" s="18" t="s">
        <v>3</v>
      </c>
      <c r="C51" s="160" t="s">
        <v>62</v>
      </c>
      <c r="D51" s="160"/>
      <c r="E51" s="160"/>
      <c r="F51" s="30">
        <f>ALIMENTACAO_POR_DIA*DIAS_TRABALHADOS_NO_MES</f>
        <v>851.84</v>
      </c>
    </row>
    <row r="52" spans="2:6" s="86" customFormat="1" x14ac:dyDescent="0.4">
      <c r="B52" s="18" t="s">
        <v>4</v>
      </c>
      <c r="C52" s="179" t="str">
        <f>OUTROS_BENEFICIOS_1_DESCRICAO</f>
        <v>Outros Benefícios 1 (Especificar)</v>
      </c>
      <c r="D52" s="180"/>
      <c r="E52" s="181"/>
      <c r="F52" s="48">
        <f>OUTROS_BENEFICIOS_1</f>
        <v>0</v>
      </c>
    </row>
    <row r="53" spans="2:6" s="86" customFormat="1" x14ac:dyDescent="0.4">
      <c r="B53" s="18" t="s">
        <v>5</v>
      </c>
      <c r="C53" s="108" t="str">
        <f>OUTROS_BENEFICIOS_2_DESCRICAO</f>
        <v>Outros Benefícios 2 (Especificar)</v>
      </c>
      <c r="D53" s="109"/>
      <c r="E53" s="110"/>
      <c r="F53" s="30">
        <f>OUTROS_BENEFICIOS_2</f>
        <v>0</v>
      </c>
    </row>
    <row r="54" spans="2:6" s="86" customFormat="1" x14ac:dyDescent="0.4">
      <c r="B54" s="18" t="s">
        <v>6</v>
      </c>
      <c r="C54" s="179" t="str">
        <f>OUTROS_BENEFICIOS_3_DESCRICAO</f>
        <v>Outros Benefícios 3 (Especificar)</v>
      </c>
      <c r="D54" s="180"/>
      <c r="E54" s="181"/>
      <c r="F54" s="48">
        <f>OUTROS_BENEFICIOS_3</f>
        <v>0</v>
      </c>
    </row>
    <row r="55" spans="2:6" s="86" customFormat="1" ht="15" customHeight="1" x14ac:dyDescent="0.4">
      <c r="B55" s="182" t="s">
        <v>42</v>
      </c>
      <c r="C55" s="182"/>
      <c r="D55" s="182"/>
      <c r="E55" s="182"/>
      <c r="F55" s="34">
        <f>SUM(F50:F54)</f>
        <v>851.84</v>
      </c>
    </row>
    <row r="56" spans="2:6" s="86" customFormat="1" x14ac:dyDescent="0.4">
      <c r="B56" s="44" t="s">
        <v>64</v>
      </c>
      <c r="C56" s="6"/>
      <c r="D56" s="15"/>
      <c r="E56" s="13"/>
      <c r="F56" s="13"/>
    </row>
    <row r="57" spans="2:6" s="86" customFormat="1" ht="15" customHeight="1" x14ac:dyDescent="0.4">
      <c r="B57" s="1">
        <v>3</v>
      </c>
      <c r="C57" s="132" t="s">
        <v>44</v>
      </c>
      <c r="D57" s="132"/>
      <c r="E57" s="3" t="s">
        <v>1</v>
      </c>
      <c r="F57" s="3" t="s">
        <v>13</v>
      </c>
    </row>
    <row r="58" spans="2:6" s="86" customFormat="1" x14ac:dyDescent="0.4">
      <c r="B58" s="1" t="s">
        <v>2</v>
      </c>
      <c r="C58" s="157" t="s">
        <v>45</v>
      </c>
      <c r="D58" s="157"/>
      <c r="E58" s="49">
        <f>PERC_AVISO_PREVIO_IND</f>
        <v>0.28999999999999998</v>
      </c>
      <c r="F58" s="48">
        <f>PERC_AVISO_PREVIO_IND%*(MOD_1_REMUNERACAO+SUBMOD_2_1_DEC_TERC_ADIC_FERIAS+AL_2_2_FGTS+SUBMOD_2_3_BENEFICIOS)</f>
        <v>25.35</v>
      </c>
    </row>
    <row r="59" spans="2:6" s="86" customFormat="1" x14ac:dyDescent="0.4">
      <c r="B59" s="2" t="s">
        <v>3</v>
      </c>
      <c r="C59" s="163" t="s">
        <v>46</v>
      </c>
      <c r="D59" s="163"/>
      <c r="E59" s="39">
        <f>PERC_AVISO_PREVIO_TRAB</f>
        <v>1.1599999999999999</v>
      </c>
      <c r="F59" s="30">
        <f>PERC_AVISO_PREVIO_TRAB%*(MOD_1_REMUNERACAO+SUBMOD_2_1_DEC_TERC_ADIC_FERIAS+SUBMOD_2_2_GPS_FGTS+SUBMOD_2_3_BENEFICIOS)</f>
        <v>125.79</v>
      </c>
    </row>
    <row r="60" spans="2:6" s="79" customFormat="1" x14ac:dyDescent="0.25">
      <c r="B60" s="2" t="s">
        <v>4</v>
      </c>
      <c r="C60" s="157" t="s">
        <v>183</v>
      </c>
      <c r="D60" s="157"/>
      <c r="E60" s="49">
        <f>PERC_MULTA_FGTS_AV_PREV_TRAB</f>
        <v>0.04</v>
      </c>
      <c r="F60" s="48">
        <f>PERC_MULTA_FGTS_AV_PREV_TRAB%*(MOD_1_REMUNERACAO+SUBMOD_2_1_DEC_TERC_ADIC_FERIAS)</f>
        <v>2.92</v>
      </c>
    </row>
    <row r="61" spans="2:6" s="79" customFormat="1" x14ac:dyDescent="0.4">
      <c r="B61" s="123" t="s">
        <v>42</v>
      </c>
      <c r="C61" s="124"/>
      <c r="D61" s="124"/>
      <c r="E61" s="125"/>
      <c r="F61" s="35">
        <f>SUM(F58:F60)</f>
        <v>154.06</v>
      </c>
    </row>
    <row r="62" spans="2:6" ht="7.5" customHeight="1" x14ac:dyDescent="0.4">
      <c r="B62" s="10"/>
      <c r="C62" s="7"/>
      <c r="D62" s="11"/>
      <c r="E62" s="8"/>
      <c r="F62" s="8"/>
    </row>
    <row r="63" spans="2:6" s="79" customFormat="1" ht="15.9" customHeight="1" x14ac:dyDescent="0.4">
      <c r="B63" s="44" t="s">
        <v>65</v>
      </c>
      <c r="C63" s="6"/>
      <c r="D63" s="15"/>
      <c r="E63" s="7"/>
      <c r="F63" s="7"/>
    </row>
    <row r="64" spans="2:6" s="79" customFormat="1" ht="15.9" customHeight="1" x14ac:dyDescent="0.4">
      <c r="B64" s="44" t="s">
        <v>95</v>
      </c>
      <c r="C64" s="6"/>
      <c r="D64" s="15"/>
      <c r="E64" s="13"/>
      <c r="F64" s="13"/>
    </row>
    <row r="65" spans="2:6" s="79" customFormat="1" x14ac:dyDescent="0.25">
      <c r="B65" s="1" t="s">
        <v>20</v>
      </c>
      <c r="C65" s="158" t="s">
        <v>96</v>
      </c>
      <c r="D65" s="158"/>
      <c r="E65" s="3" t="s">
        <v>1</v>
      </c>
      <c r="F65" s="3" t="s">
        <v>13</v>
      </c>
    </row>
    <row r="66" spans="2:6" s="79" customFormat="1" ht="15.9" customHeight="1" x14ac:dyDescent="0.25">
      <c r="B66" s="2" t="s">
        <v>2</v>
      </c>
      <c r="C66" s="159" t="s">
        <v>97</v>
      </c>
      <c r="D66" s="159"/>
      <c r="E66" s="49">
        <f>PERC_SUBSTITUTO_FERIAS</f>
        <v>8.33</v>
      </c>
      <c r="F66" s="48">
        <f>PERC_SUBSTITUTO_FERIAS%*(MOD_1_REMUNERACAO+MOD_2_ENCARGOS_BENEFICIOS+MOD_3_PROVISAO_RESCISAO)</f>
        <v>916.14</v>
      </c>
    </row>
    <row r="67" spans="2:6" s="79" customFormat="1" ht="15.9" customHeight="1" x14ac:dyDescent="0.25">
      <c r="B67" s="2" t="s">
        <v>3</v>
      </c>
      <c r="C67" s="160" t="s">
        <v>98</v>
      </c>
      <c r="D67" s="160"/>
      <c r="E67" s="39">
        <f>PERC_SUBSTITUTO_AUSENCIAS_LEGAIS</f>
        <v>2.2200000000000002</v>
      </c>
      <c r="F67" s="30">
        <f>PERC_SUBSTITUTO_AUSENCIAS_LEGAIS%*(MOD_1_REMUNERACAO+MOD_2_ENCARGOS_BENEFICIOS+MOD_3_PROVISAO_RESCISAO)</f>
        <v>244.16</v>
      </c>
    </row>
    <row r="68" spans="2:6" s="79" customFormat="1" ht="15.9" customHeight="1" x14ac:dyDescent="0.25">
      <c r="B68" s="2" t="s">
        <v>4</v>
      </c>
      <c r="C68" s="159" t="s">
        <v>99</v>
      </c>
      <c r="D68" s="159"/>
      <c r="E68" s="49">
        <f>PERC_SUBSTITUTO_LICENCA_PATERNIDADE</f>
        <v>0.04</v>
      </c>
      <c r="F68" s="48">
        <f>PERC_SUBSTITUTO_LICENCA_PATERNIDADE%*(MOD_1_REMUNERACAO+MOD_2_ENCARGOS_BENEFICIOS+MOD_3_PROVISAO_RESCISAO)</f>
        <v>4.4000000000000004</v>
      </c>
    </row>
    <row r="69" spans="2:6" s="79" customFormat="1" x14ac:dyDescent="0.25">
      <c r="B69" s="2" t="s">
        <v>5</v>
      </c>
      <c r="C69" s="160" t="s">
        <v>100</v>
      </c>
      <c r="D69" s="160"/>
      <c r="E69" s="39">
        <f>PERC_SUBSTITUTO_ACID_TRAB</f>
        <v>0.02</v>
      </c>
      <c r="F69" s="30">
        <f>PERC_SUBSTITUTO_ACID_TRAB%*(MOD_1_REMUNERACAO+MOD_2_ENCARGOS_BENEFICIOS+MOD_3_PROVISAO_RESCISAO)</f>
        <v>2.2000000000000002</v>
      </c>
    </row>
    <row r="70" spans="2:6" s="79" customFormat="1" x14ac:dyDescent="0.25">
      <c r="B70" s="2" t="s">
        <v>6</v>
      </c>
      <c r="C70" s="159" t="s">
        <v>101</v>
      </c>
      <c r="D70" s="159"/>
      <c r="E70" s="49">
        <f>PERC_SUBSTITUTO_AFAST_MATERN</f>
        <v>0.14000000000000001</v>
      </c>
      <c r="F70" s="48">
        <f>PERC_SUBSTITUTO_AFAST_MATERN%*(MOD_1_REMUNERACAO+MOD_2_ENCARGOS_BENEFICIOS+MOD_3_PROVISAO_RESCISAO)</f>
        <v>15.4</v>
      </c>
    </row>
    <row r="71" spans="2:6" s="79" customFormat="1" x14ac:dyDescent="0.25">
      <c r="B71" s="2" t="s">
        <v>7</v>
      </c>
      <c r="C71" s="185" t="str">
        <f>OUTRAS_AUSENCIAS_DESCRICAO</f>
        <v>Outras Ausências (Especificar - em %)</v>
      </c>
      <c r="D71" s="160"/>
      <c r="E71" s="46">
        <f>PERC_SUBSTITUTO_OUTRAS_AUSENCIAS</f>
        <v>0</v>
      </c>
      <c r="F71" s="30">
        <f>PERC_SUBSTITUTO_OUTRAS_AUSENCIAS%*(MOD_1_REMUNERACAO+MOD_2_ENCARGOS_BENEFICIOS+MOD_3_PROVISAO_RESCISAO)</f>
        <v>0</v>
      </c>
    </row>
    <row r="72" spans="2:6" s="79" customFormat="1" x14ac:dyDescent="0.4">
      <c r="B72" s="123" t="s">
        <v>42</v>
      </c>
      <c r="C72" s="124"/>
      <c r="D72" s="124"/>
      <c r="E72" s="125"/>
      <c r="F72" s="35">
        <f>SUM(F66:F71)</f>
        <v>1182.3</v>
      </c>
    </row>
    <row r="73" spans="2:6" s="79" customFormat="1" ht="15" customHeight="1" x14ac:dyDescent="0.4">
      <c r="B73" s="44" t="s">
        <v>178</v>
      </c>
      <c r="C73" s="6"/>
      <c r="D73" s="15"/>
      <c r="E73" s="13"/>
      <c r="F73" s="13"/>
    </row>
    <row r="74" spans="2:6" s="79" customFormat="1" x14ac:dyDescent="0.25">
      <c r="B74" s="1" t="s">
        <v>21</v>
      </c>
      <c r="C74" s="132" t="s">
        <v>177</v>
      </c>
      <c r="D74" s="132"/>
      <c r="E74" s="132"/>
      <c r="F74" s="3" t="s">
        <v>13</v>
      </c>
    </row>
    <row r="75" spans="2:6" s="79" customFormat="1" x14ac:dyDescent="0.25">
      <c r="B75" s="1" t="s">
        <v>2</v>
      </c>
      <c r="C75" s="159" t="s">
        <v>102</v>
      </c>
      <c r="D75" s="159"/>
      <c r="E75" s="159"/>
      <c r="F75" s="47">
        <f>IF(DIAS_TRABALHADOS_NO_MES=15,((MOD_1_REMUNERACAO+MOD_2_ENCARGOS_BENEFICIOS+MOD_3_PROVISAO_RESCISAO)/DIVISOR_DE_HORAS)*((TEMPO_INTERVALO_REFEICAO/HORA_NORMAL)+PERC_HORA_EXTRA%)*DIAS_TRABALHADOS_NO_MES,0)</f>
        <v>0</v>
      </c>
    </row>
    <row r="76" spans="2:6" s="79" customFormat="1" x14ac:dyDescent="0.4">
      <c r="B76" s="132" t="s">
        <v>42</v>
      </c>
      <c r="C76" s="132"/>
      <c r="D76" s="132"/>
      <c r="E76" s="132"/>
      <c r="F76" s="35">
        <f>SUM(F75)</f>
        <v>0</v>
      </c>
    </row>
    <row r="77" spans="2:6" ht="7.5" customHeight="1" x14ac:dyDescent="0.4">
      <c r="B77" s="10"/>
      <c r="C77" s="7"/>
      <c r="D77" s="11"/>
      <c r="E77" s="8"/>
      <c r="F77" s="8"/>
    </row>
    <row r="78" spans="2:6" x14ac:dyDescent="0.4">
      <c r="B78" s="44" t="s">
        <v>69</v>
      </c>
      <c r="C78" s="6"/>
      <c r="D78" s="6"/>
      <c r="E78" s="13"/>
      <c r="F78" s="13"/>
    </row>
    <row r="79" spans="2:6" ht="15.75" customHeight="1" x14ac:dyDescent="0.4">
      <c r="B79" s="42">
        <v>5</v>
      </c>
      <c r="C79" s="126" t="s">
        <v>0</v>
      </c>
      <c r="D79" s="126"/>
      <c r="E79" s="126"/>
      <c r="F79" s="43" t="s">
        <v>13</v>
      </c>
    </row>
    <row r="80" spans="2:6" x14ac:dyDescent="0.4">
      <c r="B80" s="38" t="s">
        <v>2</v>
      </c>
      <c r="C80" s="127" t="s">
        <v>16</v>
      </c>
      <c r="D80" s="127"/>
      <c r="E80" s="127"/>
      <c r="F80" s="50">
        <f>UNIFORMES</f>
        <v>169.04</v>
      </c>
    </row>
    <row r="81" spans="2:6" x14ac:dyDescent="0.4">
      <c r="B81" s="38" t="s">
        <v>3</v>
      </c>
      <c r="C81" s="128" t="s">
        <v>18</v>
      </c>
      <c r="D81" s="128"/>
      <c r="E81" s="128"/>
      <c r="F81" s="40">
        <f>MATERIAIS</f>
        <v>0</v>
      </c>
    </row>
    <row r="82" spans="2:6" x14ac:dyDescent="0.4">
      <c r="B82" s="38" t="s">
        <v>4</v>
      </c>
      <c r="C82" s="127" t="s">
        <v>17</v>
      </c>
      <c r="D82" s="127"/>
      <c r="E82" s="127"/>
      <c r="F82" s="50">
        <f>EQUIPAMENTOS</f>
        <v>0</v>
      </c>
    </row>
    <row r="83" spans="2:6" x14ac:dyDescent="0.4">
      <c r="B83" s="38" t="s">
        <v>5</v>
      </c>
      <c r="C83" s="186" t="str">
        <f>OUTROS_INSUMOS_DESCRICAO</f>
        <v>Outros (Especificar)</v>
      </c>
      <c r="D83" s="128"/>
      <c r="E83" s="128"/>
      <c r="F83" s="40">
        <f>OUTROS_INSUMOS</f>
        <v>0</v>
      </c>
    </row>
    <row r="84" spans="2:6" x14ac:dyDescent="0.4">
      <c r="B84" s="184" t="s">
        <v>42</v>
      </c>
      <c r="C84" s="184"/>
      <c r="D84" s="184"/>
      <c r="E84" s="184"/>
      <c r="F84" s="37">
        <f>SUM(F80:F83)</f>
        <v>169.04</v>
      </c>
    </row>
    <row r="85" spans="2:6" ht="7.5" customHeight="1" x14ac:dyDescent="0.4">
      <c r="B85" s="10"/>
      <c r="C85" s="7"/>
      <c r="D85" s="11"/>
      <c r="E85" s="8"/>
      <c r="F85" s="8"/>
    </row>
    <row r="86" spans="2:6" ht="15" customHeight="1" x14ac:dyDescent="0.4">
      <c r="B86" s="120" t="s">
        <v>68</v>
      </c>
      <c r="C86" s="120"/>
      <c r="D86" s="120"/>
      <c r="E86" s="120"/>
      <c r="F86" s="120"/>
    </row>
    <row r="87" spans="2:6" x14ac:dyDescent="0.4">
      <c r="B87" s="1">
        <v>6</v>
      </c>
      <c r="C87" s="132" t="s">
        <v>22</v>
      </c>
      <c r="D87" s="132"/>
      <c r="E87" s="3" t="s">
        <v>1</v>
      </c>
      <c r="F87" s="3" t="s">
        <v>13</v>
      </c>
    </row>
    <row r="88" spans="2:6" x14ac:dyDescent="0.4">
      <c r="B88" s="1" t="s">
        <v>2</v>
      </c>
      <c r="C88" s="159" t="s">
        <v>70</v>
      </c>
      <c r="D88" s="159"/>
      <c r="E88" s="51">
        <f>PERC_CUSTOS_INDIRETOS</f>
        <v>4.7300000000000004</v>
      </c>
      <c r="F88" s="48">
        <f>PERC_CUSTOS_INDIRETOS%*(MOD_1_REMUNERACAO+MOD_2_ENCARGOS_BENEFICIOS+MOD_3_PROVISAO_RESCISAO+MOD_4_CUSTO_REPOSICAO+MOD_5_INSUMOS)</f>
        <v>584.13</v>
      </c>
    </row>
    <row r="89" spans="2:6" ht="15.75" customHeight="1" x14ac:dyDescent="0.4">
      <c r="B89" s="2" t="s">
        <v>3</v>
      </c>
      <c r="C89" s="160" t="s">
        <v>29</v>
      </c>
      <c r="D89" s="160"/>
      <c r="E89" s="41">
        <f>PERC_LUCRO</f>
        <v>5.57</v>
      </c>
      <c r="F89" s="30">
        <f>PERC_LUCRO%*(MOD_1_REMUNERACAO+MOD_2_ENCARGOS_BENEFICIOS+MOD_3_PROVISAO_RESCISAO+MOD_4_CUSTO_REPOSICAO+MOD_5_INSUMOS+AL_6_A_CUSTOS_INDIRETOS)</f>
        <v>720.4</v>
      </c>
    </row>
    <row r="90" spans="2:6" x14ac:dyDescent="0.4">
      <c r="B90" s="2" t="s">
        <v>4</v>
      </c>
      <c r="C90" s="159" t="s">
        <v>23</v>
      </c>
      <c r="D90" s="159"/>
      <c r="E90" s="51">
        <f>SUM(E91:E93)</f>
        <v>8.65</v>
      </c>
      <c r="F90" s="48">
        <f>SUM(F91:F93)</f>
        <v>1292.8900000000001</v>
      </c>
    </row>
    <row r="91" spans="2:6" ht="15.75" customHeight="1" x14ac:dyDescent="0.4">
      <c r="B91" s="24" t="s">
        <v>71</v>
      </c>
      <c r="C91" s="187" t="s">
        <v>24</v>
      </c>
      <c r="D91" s="187"/>
      <c r="E91" s="25">
        <f>PERC_PIS</f>
        <v>0.65</v>
      </c>
      <c r="F91" s="53">
        <f>((MOD_1_REMUNERACAO+MOD_2_ENCARGOS_BENEFICIOS+MOD_3_PROVISAO_RESCISAO+MOD_4_CUSTO_REPOSICAO+MOD_5_INSUMOS+AL_6_A_CUSTOS_INDIRETOS+AL_6_B_LUCRO)*PERC_PIS%)/(1-PERC_TRIBUTOS%)</f>
        <v>97.15</v>
      </c>
    </row>
    <row r="92" spans="2:6" x14ac:dyDescent="0.4">
      <c r="B92" s="24" t="s">
        <v>72</v>
      </c>
      <c r="C92" s="188" t="s">
        <v>25</v>
      </c>
      <c r="D92" s="188"/>
      <c r="E92" s="52">
        <f>PERC_COFINS</f>
        <v>3</v>
      </c>
      <c r="F92" s="54">
        <f>((MOD_1_REMUNERACAO+MOD_2_ENCARGOS_BENEFICIOS+MOD_3_PROVISAO_RESCISAO+MOD_4_CUSTO_REPOSICAO+MOD_5_INSUMOS+AL_6_A_CUSTOS_INDIRETOS+AL_6_B_LUCRO)*PERC_COFINS%)/(1-PERC_TRIBUTOS%)</f>
        <v>448.4</v>
      </c>
    </row>
    <row r="93" spans="2:6" s="87" customFormat="1" x14ac:dyDescent="0.4">
      <c r="B93" s="24" t="s">
        <v>73</v>
      </c>
      <c r="C93" s="187" t="s">
        <v>26</v>
      </c>
      <c r="D93" s="187"/>
      <c r="E93" s="25">
        <f>PERC_ISS</f>
        <v>5</v>
      </c>
      <c r="F93" s="53">
        <f>((MOD_1_REMUNERACAO+MOD_2_ENCARGOS_BENEFICIOS+MOD_3_PROVISAO_RESCISAO+MOD_4_CUSTO_REPOSICAO+MOD_5_INSUMOS+AL_6_A_CUSTOS_INDIRETOS+AL_6_B_LUCRO)*PERC_ISS%)/(1-PERC_TRIBUTOS%)</f>
        <v>747.34</v>
      </c>
    </row>
    <row r="94" spans="2:6" s="87" customFormat="1" x14ac:dyDescent="0.4">
      <c r="B94" s="123" t="s">
        <v>42</v>
      </c>
      <c r="C94" s="124"/>
      <c r="D94" s="124"/>
      <c r="E94" s="125"/>
      <c r="F94" s="31">
        <f>AL_6_A_CUSTOS_INDIRETOS+AL_6_B_LUCRO+AL_6_C_TRIBUTOS</f>
        <v>2597.42</v>
      </c>
    </row>
    <row r="95" spans="2:6" s="87" customFormat="1" ht="20.399999999999999" x14ac:dyDescent="0.4">
      <c r="B95" s="45" t="s">
        <v>49</v>
      </c>
      <c r="C95" s="9"/>
      <c r="D95" s="9"/>
      <c r="E95" s="9"/>
      <c r="F95" s="16"/>
    </row>
    <row r="96" spans="2:6" s="88" customFormat="1" ht="16.5" customHeight="1" x14ac:dyDescent="0.4">
      <c r="B96" s="2" t="s">
        <v>91</v>
      </c>
      <c r="C96" s="133" t="s">
        <v>92</v>
      </c>
      <c r="D96" s="134"/>
      <c r="E96" s="135"/>
      <c r="F96" s="3" t="s">
        <v>19</v>
      </c>
    </row>
    <row r="97" spans="2:6" s="87" customFormat="1" x14ac:dyDescent="0.4">
      <c r="B97" s="1">
        <v>1</v>
      </c>
      <c r="C97" s="159" t="s">
        <v>9</v>
      </c>
      <c r="D97" s="159"/>
      <c r="E97" s="159"/>
      <c r="F97" s="48">
        <f>MOD_1_REMUNERACAO</f>
        <v>6573.84</v>
      </c>
    </row>
    <row r="98" spans="2:6" s="89" customFormat="1" ht="16.5" customHeight="1" x14ac:dyDescent="0.4">
      <c r="B98" s="2">
        <v>2</v>
      </c>
      <c r="C98" s="160" t="s">
        <v>93</v>
      </c>
      <c r="D98" s="160"/>
      <c r="E98" s="160"/>
      <c r="F98" s="30">
        <f>MOD_2_ENCARGOS_BENEFICIOS</f>
        <v>4270.1400000000003</v>
      </c>
    </row>
    <row r="99" spans="2:6" s="89" customFormat="1" x14ac:dyDescent="0.4">
      <c r="B99" s="2">
        <v>3</v>
      </c>
      <c r="C99" s="159" t="s">
        <v>44</v>
      </c>
      <c r="D99" s="159"/>
      <c r="E99" s="159"/>
      <c r="F99" s="48">
        <f>MOD_3_PROVISAO_RESCISAO</f>
        <v>154.06</v>
      </c>
    </row>
    <row r="100" spans="2:6" s="89" customFormat="1" x14ac:dyDescent="0.4">
      <c r="B100" s="2">
        <v>4</v>
      </c>
      <c r="C100" s="160" t="s">
        <v>47</v>
      </c>
      <c r="D100" s="160"/>
      <c r="E100" s="160"/>
      <c r="F100" s="30">
        <f>MOD_4_CUSTO_REPOSICAO</f>
        <v>1182.3</v>
      </c>
    </row>
    <row r="101" spans="2:6" s="89" customFormat="1" x14ac:dyDescent="0.4">
      <c r="B101" s="2">
        <v>5</v>
      </c>
      <c r="C101" s="159" t="s">
        <v>0</v>
      </c>
      <c r="D101" s="159"/>
      <c r="E101" s="159"/>
      <c r="F101" s="48">
        <f>MOD_5_INSUMOS</f>
        <v>169.04</v>
      </c>
    </row>
    <row r="102" spans="2:6" s="89" customFormat="1" x14ac:dyDescent="0.4">
      <c r="B102" s="2">
        <v>6</v>
      </c>
      <c r="C102" s="160" t="s">
        <v>22</v>
      </c>
      <c r="D102" s="160"/>
      <c r="E102" s="160"/>
      <c r="F102" s="30">
        <f>MOD_6_CUSTOS_IND_LUCRO_TRIB</f>
        <v>2597.42</v>
      </c>
    </row>
    <row r="103" spans="2:6" ht="16.5" customHeight="1" x14ac:dyDescent="0.4">
      <c r="B103" s="158" t="s">
        <v>94</v>
      </c>
      <c r="C103" s="158"/>
      <c r="D103" s="158"/>
      <c r="E103" s="158"/>
      <c r="F103" s="31">
        <f>SUM(F97:F102)</f>
        <v>14946.8</v>
      </c>
    </row>
    <row r="104" spans="2:6" ht="16.5" customHeight="1" x14ac:dyDescent="0.4">
      <c r="B104" s="158" t="s">
        <v>28</v>
      </c>
      <c r="C104" s="158"/>
      <c r="D104" s="158"/>
      <c r="E104" s="158"/>
      <c r="F104" s="31">
        <f>VALOR_TOTAL_EMPREGADO*EMPREG_POR_POSTO</f>
        <v>14946.8</v>
      </c>
    </row>
    <row r="105" spans="2:6" x14ac:dyDescent="0.4">
      <c r="B105" s="158" t="s">
        <v>155</v>
      </c>
      <c r="C105" s="158"/>
      <c r="D105" s="158"/>
      <c r="E105" s="158"/>
      <c r="F105" s="31">
        <f>VALOR_TOTAL_EMPREGADO*EMPREG_POR_POSTO*QTDE_POSTOS</f>
        <v>14946.8</v>
      </c>
    </row>
  </sheetData>
  <mergeCells count="94">
    <mergeCell ref="B105:E105"/>
    <mergeCell ref="C99:E99"/>
    <mergeCell ref="C100:E100"/>
    <mergeCell ref="C101:E101"/>
    <mergeCell ref="C102:E102"/>
    <mergeCell ref="B103:E103"/>
    <mergeCell ref="B104:E104"/>
    <mergeCell ref="C98:E98"/>
    <mergeCell ref="B86:F86"/>
    <mergeCell ref="C87:D87"/>
    <mergeCell ref="C88:D88"/>
    <mergeCell ref="C89:D89"/>
    <mergeCell ref="C90:D90"/>
    <mergeCell ref="C91:D91"/>
    <mergeCell ref="C92:D92"/>
    <mergeCell ref="C93:D93"/>
    <mergeCell ref="B94:E94"/>
    <mergeCell ref="C96:E96"/>
    <mergeCell ref="C97:E97"/>
    <mergeCell ref="B84:E84"/>
    <mergeCell ref="C70:D70"/>
    <mergeCell ref="C71:D71"/>
    <mergeCell ref="B72:E72"/>
    <mergeCell ref="C74:E74"/>
    <mergeCell ref="C75:E75"/>
    <mergeCell ref="B76:E76"/>
    <mergeCell ref="C79:E79"/>
    <mergeCell ref="C80:E80"/>
    <mergeCell ref="C81:E81"/>
    <mergeCell ref="C82:E82"/>
    <mergeCell ref="C83:E83"/>
    <mergeCell ref="C69:D69"/>
    <mergeCell ref="C58:D58"/>
    <mergeCell ref="C60:D60"/>
    <mergeCell ref="C59:D59"/>
    <mergeCell ref="B61:E61"/>
    <mergeCell ref="C65:D65"/>
    <mergeCell ref="C66:D66"/>
    <mergeCell ref="C67:D67"/>
    <mergeCell ref="C68:D68"/>
    <mergeCell ref="C57:D57"/>
    <mergeCell ref="C44:D44"/>
    <mergeCell ref="C45:D45"/>
    <mergeCell ref="C46:D46"/>
    <mergeCell ref="B47:E47"/>
    <mergeCell ref="C49:E49"/>
    <mergeCell ref="C50:E50"/>
    <mergeCell ref="C51:E51"/>
    <mergeCell ref="C52:E52"/>
    <mergeCell ref="C53:E53"/>
    <mergeCell ref="C54:E54"/>
    <mergeCell ref="B55:E55"/>
    <mergeCell ref="C43:D43"/>
    <mergeCell ref="B30:E30"/>
    <mergeCell ref="C33:D33"/>
    <mergeCell ref="C34:D34"/>
    <mergeCell ref="C35:D35"/>
    <mergeCell ref="B36:E36"/>
    <mergeCell ref="B37:F37"/>
    <mergeCell ref="C38:D38"/>
    <mergeCell ref="C39:D39"/>
    <mergeCell ref="C40:D40"/>
    <mergeCell ref="C41:D41"/>
    <mergeCell ref="C42:D42"/>
    <mergeCell ref="D15:F15"/>
    <mergeCell ref="C29:E29"/>
    <mergeCell ref="C26:E26"/>
    <mergeCell ref="D16:F16"/>
    <mergeCell ref="C17:E17"/>
    <mergeCell ref="B18:F18"/>
    <mergeCell ref="B19:E19"/>
    <mergeCell ref="C21:E21"/>
    <mergeCell ref="C22:E22"/>
    <mergeCell ref="C23:E23"/>
    <mergeCell ref="C24:E24"/>
    <mergeCell ref="C25:E25"/>
    <mergeCell ref="C27:E27"/>
    <mergeCell ref="C28:E28"/>
    <mergeCell ref="C10:E10"/>
    <mergeCell ref="C11:E11"/>
    <mergeCell ref="C12:E12"/>
    <mergeCell ref="C14:D14"/>
    <mergeCell ref="E14:F14"/>
    <mergeCell ref="B6:C6"/>
    <mergeCell ref="D6:E6"/>
    <mergeCell ref="B7:F7"/>
    <mergeCell ref="C8:E8"/>
    <mergeCell ref="D9:F9"/>
    <mergeCell ref="B1:F1"/>
    <mergeCell ref="B2:D2"/>
    <mergeCell ref="B3:F3"/>
    <mergeCell ref="B4:F4"/>
    <mergeCell ref="B5:C5"/>
    <mergeCell ref="D5:F5"/>
  </mergeCells>
  <printOptions horizontalCentered="1"/>
  <pageMargins left="0.08" right="0.05" top="0.19685039370078741" bottom="0.15748031496062992" header="0.19685039370078741" footer="0.15748031496062992"/>
  <pageSetup paperSize="9" orientation="portrait" r:id="rId1"/>
  <ignoredErrors>
    <ignoredError sqref="B1:F1 B13:F13 B4:F4 C3:F3 B2:F2 B10:F11 B9:D9 E9:F9 B12:E12 C17:F17 B14:D14 F14 B15:C15 E15:F15 C16 E16:F16 B7:F8 C6:F6 C5:F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123</vt:i4>
      </vt:variant>
    </vt:vector>
  </HeadingPairs>
  <TitlesOfParts>
    <vt:vector size="127" baseType="lpstr">
      <vt:lpstr>INSERÇÃO-DE-DADOS</vt:lpstr>
      <vt:lpstr>DADOS-ESTATISTICOS</vt:lpstr>
      <vt:lpstr>ENCARGOS-SOCIAIS-E-TRABALHISTAS</vt:lpstr>
      <vt:lpstr>POSTO 12x36 HORAS OU 44 HORAS</vt:lpstr>
      <vt:lpstr>ACORDO_COLETIVO</vt:lpstr>
      <vt:lpstr>'POSTO 12x36 HORAS OU 44 HORAS'!AL_1_A_SAL_BASE</vt:lpstr>
      <vt:lpstr>'POSTO 12x36 HORAS OU 44 HORAS'!AL_1_B_ADIC_PERIC</vt:lpstr>
      <vt:lpstr>'POSTO 12x36 HORAS OU 44 HORAS'!AL_1_C_ADIC_NOT</vt:lpstr>
      <vt:lpstr>'POSTO 12x36 HORAS OU 44 HORAS'!AL_1_D_ADIC_NOT_RED</vt:lpstr>
      <vt:lpstr>'POSTO 12x36 HORAS OU 44 HORAS'!AL_2_1_A_DEC_TERC</vt:lpstr>
      <vt:lpstr>'POSTO 12x36 HORAS OU 44 HORAS'!AL_2_1_B_ADIC_FERIAS</vt:lpstr>
      <vt:lpstr>'POSTO 12x36 HORAS OU 44 HORAS'!AL_2_2_FGTS</vt:lpstr>
      <vt:lpstr>'POSTO 12x36 HORAS OU 44 HORAS'!AL_2_3_A_TRANSP</vt:lpstr>
      <vt:lpstr>'POSTO 12x36 HORAS OU 44 HORAS'!AL_2_3_B_AUX_ALIMENT</vt:lpstr>
      <vt:lpstr>'POSTO 12x36 HORAS OU 44 HORAS'!AL_2_3_C_OUTROS_BENEF</vt:lpstr>
      <vt:lpstr>'POSTO 12x36 HORAS OU 44 HORAS'!AL_2_A_ATE_2_G_GPS</vt:lpstr>
      <vt:lpstr>'POSTO 12x36 HORAS OU 44 HORAS'!AL_6_A_CUSTOS_INDIRETOS</vt:lpstr>
      <vt:lpstr>'POSTO 12x36 HORAS OU 44 HORAS'!AL_6_B_LUCRO</vt:lpstr>
      <vt:lpstr>'POSTO 12x36 HORAS OU 44 HORAS'!AL_6_C_1_PIS</vt:lpstr>
      <vt:lpstr>'POSTO 12x36 HORAS OU 44 HORAS'!AL_6_C_2_COFINS</vt:lpstr>
      <vt:lpstr>'POSTO 12x36 HORAS OU 44 HORAS'!AL_6_C_3_ISS</vt:lpstr>
      <vt:lpstr>'POSTO 12x36 HORAS OU 44 HORAS'!AL_6_C_TRIBUTOS</vt:lpstr>
      <vt:lpstr>ALIMENTACAO_POR_DIA</vt:lpstr>
      <vt:lpstr>CATEGORIA_PROFISSIONAL</vt:lpstr>
      <vt:lpstr>CBO</vt:lpstr>
      <vt:lpstr>DATA_APRESENTACAO_PROPOSTA</vt:lpstr>
      <vt:lpstr>DATA_BASE_CATEGORIA</vt:lpstr>
      <vt:lpstr>DATA_DO_ORCAMENTO_ESTIMATIVO</vt:lpstr>
      <vt:lpstr>DATA_LICITACAO</vt:lpstr>
      <vt:lpstr>DIAS_AUSENCIAS_LEGAIS</vt:lpstr>
      <vt:lpstr>DIAS_LICENCA_MATERNIDADE</vt:lpstr>
      <vt:lpstr>DIAS_LICENCA_PATERNIDADE</vt:lpstr>
      <vt:lpstr>DIAS_NA_SEMANA</vt:lpstr>
      <vt:lpstr>DIAS_NO_ANO</vt:lpstr>
      <vt:lpstr>DIAS_NO_MES</vt:lpstr>
      <vt:lpstr>DIAS_PAGOS_EMPRESA_ACID_TRAB</vt:lpstr>
      <vt:lpstr>DIAS_TRABALHADOS_NO_MES</vt:lpstr>
      <vt:lpstr>DIVISOR_DE_HORAS</vt:lpstr>
      <vt:lpstr>EMPREG_POR_POSTO</vt:lpstr>
      <vt:lpstr>EQUIPAMENTOS</vt:lpstr>
      <vt:lpstr>HORA_NORMAL</vt:lpstr>
      <vt:lpstr>HORA_NOTURNA</vt:lpstr>
      <vt:lpstr>HORARIO_LICITACAO</vt:lpstr>
      <vt:lpstr>LOCAL_DE_EXECUCAO</vt:lpstr>
      <vt:lpstr>MATERIAIS</vt:lpstr>
      <vt:lpstr>MEDIA_ANUAL_DIAS_TRABALHO_MES</vt:lpstr>
      <vt:lpstr>MESES_NO_ANO</vt:lpstr>
      <vt:lpstr>'POSTO 12x36 HORAS OU 44 HORAS'!MOD_1_REMUNERACAO</vt:lpstr>
      <vt:lpstr>'POSTO 12x36 HORAS OU 44 HORAS'!MOD_3_PROVISAO_RESCISAO</vt:lpstr>
      <vt:lpstr>'POSTO 12x36 HORAS OU 44 HORAS'!MOD_5_INSUMOS</vt:lpstr>
      <vt:lpstr>'POSTO 12x36 HORAS OU 44 HORAS'!MOD_6_CUSTOS_IND_LUCRO_TRIB</vt:lpstr>
      <vt:lpstr>MODALIDADE_DE_LICITACAO</vt:lpstr>
      <vt:lpstr>NUMERO_MESES_EXEC_CONTRATUAL</vt:lpstr>
      <vt:lpstr>NUMERO_PREGAO</vt:lpstr>
      <vt:lpstr>NUMERO_PROCESSO</vt:lpstr>
      <vt:lpstr>OUTRAS_AUSENCIAS</vt:lpstr>
      <vt:lpstr>OUTRAS_AUSENCIAS_DESCRICAO</vt:lpstr>
      <vt:lpstr>OUTROS_BENEFICIOS_1</vt:lpstr>
      <vt:lpstr>OUTROS_BENEFICIOS_1_DESCRICAO</vt:lpstr>
      <vt:lpstr>OUTROS_BENEFICIOS_2</vt:lpstr>
      <vt:lpstr>OUTROS_BENEFICIOS_2_DESCRICAO</vt:lpstr>
      <vt:lpstr>OUTROS_BENEFICIOS_3</vt:lpstr>
      <vt:lpstr>OUTROS_BENEFICIOS_3_DESCRICAO</vt:lpstr>
      <vt:lpstr>OUTROS_INSUMOS</vt:lpstr>
      <vt:lpstr>OUTROS_INSUMOS_DESCRICAO</vt:lpstr>
      <vt:lpstr>OUTROS_REMUNERACAO_1</vt:lpstr>
      <vt:lpstr>OUTROS_REMUNERACAO_1_DESCRICAO</vt:lpstr>
      <vt:lpstr>OUTROS_REMUNERACAO_2</vt:lpstr>
      <vt:lpstr>OUTROS_REMUNERACAO_2_DESCRICAO</vt:lpstr>
      <vt:lpstr>OUTROS_REMUNERACAO_3</vt:lpstr>
      <vt:lpstr>OUTROS_REMUNERACAO_3_DESCRICAO</vt:lpstr>
      <vt:lpstr>PERC_ADIC_FERIAS</vt:lpstr>
      <vt:lpstr>PERC_ADIC_INS</vt:lpstr>
      <vt:lpstr>PERC_ADIC_NOT</vt:lpstr>
      <vt:lpstr>PERC_ADIC_PERIC</vt:lpstr>
      <vt:lpstr>PERC_AVISO_PREVIO_IND</vt:lpstr>
      <vt:lpstr>PERC_AVISO_PREVIO_TRAB</vt:lpstr>
      <vt:lpstr>PERC_COFINS</vt:lpstr>
      <vt:lpstr>PERC_CUSTOS_INDIRETOS</vt:lpstr>
      <vt:lpstr>PERC_DEC_TERC</vt:lpstr>
      <vt:lpstr>PERC_DESC_TRANSP_REMUNERACAO</vt:lpstr>
      <vt:lpstr>PERC_EMPREG_AFAST_TRAB</vt:lpstr>
      <vt:lpstr>PERC_EMPREG_AVISO_PREVIO_IND</vt:lpstr>
      <vt:lpstr>PERC_EMPREG_AVISO_PREVIO_TRAB</vt:lpstr>
      <vt:lpstr>PERC_EMPREG_DEMIT_SEM_JUSTA_CAUSA_TOTAL_DESLIG</vt:lpstr>
      <vt:lpstr>PERC_FGTS</vt:lpstr>
      <vt:lpstr>PERC_GPS_FGTS</vt:lpstr>
      <vt:lpstr>PERC_HORA_EXTRA</vt:lpstr>
      <vt:lpstr>PERC_INCRA</vt:lpstr>
      <vt:lpstr>PERC_INSS</vt:lpstr>
      <vt:lpstr>PERC_ISS</vt:lpstr>
      <vt:lpstr>PERC_LUCRO</vt:lpstr>
      <vt:lpstr>'POSTO 12x36 HORAS OU 44 HORAS'!PERC_MOD_3_PROVISAO_RESCISAO</vt:lpstr>
      <vt:lpstr>PERC_MULTA_FGTS</vt:lpstr>
      <vt:lpstr>PERC_MULTA_FGTS_AV_PREV_TRAB</vt:lpstr>
      <vt:lpstr>PERC_NASCIDOS_VIVOS_POPUL_FEM</vt:lpstr>
      <vt:lpstr>PERC_PARTIC_FEM_VIGIL</vt:lpstr>
      <vt:lpstr>PERC_PARTIC_MASC_VIGIL</vt:lpstr>
      <vt:lpstr>PERC_PIS</vt:lpstr>
      <vt:lpstr>PERC_RAT</vt:lpstr>
      <vt:lpstr>PERC_SAL_EDUCACAO</vt:lpstr>
      <vt:lpstr>PERC_SEBRAE</vt:lpstr>
      <vt:lpstr>PERC_SENAC</vt:lpstr>
      <vt:lpstr>PERC_SESC</vt:lpstr>
      <vt:lpstr>PERC_SUBSTITUTO_ACID_TRAB</vt:lpstr>
      <vt:lpstr>PERC_SUBSTITUTO_AFAST_MATERN</vt:lpstr>
      <vt:lpstr>PERC_SUBSTITUTO_AUSENCIAS_LEGAIS</vt:lpstr>
      <vt:lpstr>PERC_SUBSTITUTO_FERIAS</vt:lpstr>
      <vt:lpstr>PERC_SUBSTITUTO_LICENCA_PATERNIDADE</vt:lpstr>
      <vt:lpstr>PERC_SUBSTITUTO_OUTRAS_AUSENCIAS</vt:lpstr>
      <vt:lpstr>'POSTO 12x36 HORAS OU 44 HORAS'!PERC_TRIBUTOS</vt:lpstr>
      <vt:lpstr>'POSTO 12x36 HORAS OU 44 HORAS'!QTDE_POSTOS</vt:lpstr>
      <vt:lpstr>RAMO</vt:lpstr>
      <vt:lpstr>SAL_MINIMO</vt:lpstr>
      <vt:lpstr>SALARIO_BASE</vt:lpstr>
      <vt:lpstr>'POSTO 12x36 HORAS OU 44 HORAS'!SUBMOD_2_1_DEC_TERC_ADIC_FERIAS</vt:lpstr>
      <vt:lpstr>'POSTO 12x36 HORAS OU 44 HORAS'!SUBMOD_2_2_GPS_FGTS</vt:lpstr>
      <vt:lpstr>'POSTO 12x36 HORAS OU 44 HORAS'!SUBMOD_2_3_BENEFICIOS</vt:lpstr>
      <vt:lpstr>'POSTO 12x36 HORAS OU 44 HORAS'!SUBMOD_4_1_SUBSTITUTO</vt:lpstr>
      <vt:lpstr>'POSTO 12x36 HORAS OU 44 HORAS'!SUBMOD_4_2_INTRAJORNADA</vt:lpstr>
      <vt:lpstr>TEMPO_INTERVALO_REFEICAO</vt:lpstr>
      <vt:lpstr>TIPO_DE_SERVICO</vt:lpstr>
      <vt:lpstr>TRANSPORTE_POR_DIA</vt:lpstr>
      <vt:lpstr>UG</vt:lpstr>
      <vt:lpstr>UNIFORMES</vt:lpstr>
      <vt:lpstr>'POSTO 12x36 HORAS OU 44 HORAS'!VALOR_TOTAL_EMPREGADO</vt:lpstr>
      <vt:lpstr>'POSTO 12x36 HORAS OU 44 HORAS'!VALOR_TOTAL_POSTO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 Felipe Flores da Silva</dc:creator>
  <cp:lastModifiedBy>Usuário do Windows</cp:lastModifiedBy>
  <cp:lastPrinted>2019-08-28T14:06:04Z</cp:lastPrinted>
  <dcterms:created xsi:type="dcterms:W3CDTF">2014-02-07T18:14:59Z</dcterms:created>
  <dcterms:modified xsi:type="dcterms:W3CDTF">2022-09-15T18:04:49Z</dcterms:modified>
</cp:coreProperties>
</file>