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halessilva\Downloads\"/>
    </mc:Choice>
  </mc:AlternateContent>
  <xr:revisionPtr revIDLastSave="0" documentId="8_{D13139F3-A019-4005-91A0-D2054AD4A526}" xr6:coauthVersionLast="47" xr6:coauthVersionMax="47" xr10:uidLastSave="{00000000-0000-0000-0000-000000000000}"/>
  <bookViews>
    <workbookView xWindow="-120" yWindow="-120" windowWidth="29040" windowHeight="15840" tabRatio="899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<sst xmlns="http://schemas.openxmlformats.org/spreadsheetml/2006/main" count="425" uniqueCount="193">
  <si>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</si>
  <si>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</si>
  <si>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</si>
  <si>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</si>
  <si>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</si>
  <si>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</si>
  <si>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</si>
  <si>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</si>
  <si>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</si>
  <si>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</si>
  <si>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</si>
  <si>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</si>
  <si>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</si>
  <si>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</si>
  <si>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</si>
  <si>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</si>
  <si>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</si>
  <si>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</si>
  <si>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</si>
  <si>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</si>
  <si>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</si>
  <si>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</si>
  <si>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</si>
  <si>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</si>
  <si>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</si>
  <si>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</si>
  <si>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</si>
  <si>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</si>
  <si>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</si>
  <si>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</si>
  <si>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</si>
  <si>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</si>
  <si>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</si>
  <si>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</si>
  <si>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</si>
  <si>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</si>
  <si>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</si>
  <si>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</si>
  <si>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</si>
  <si>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</si>
  <si>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</si>
  <si>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</si>
  <si>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</si>
  <si>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</si>
  <si>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</si>
  <si>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</si>
  <si>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</si>
  <si>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</si>
  <si>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</si>
  <si>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</si>
  <si>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</si>
  <si>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</si>
  <si>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</si>
  <si>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</si>
  <si>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</si>
  <si>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</si>
  <si>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</si>
  <si>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</si>
  <si>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</si>
  <si>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</si>
  <si>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</si>
  <si>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</si>
  <si>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</si>
  <si>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</si>
  <si>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</si>
  <si>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</si>
  <si>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</si>
  <si>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</si>
  <si>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</si>
  <si>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</si>
  <si>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</si>
  <si>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</si>
  <si>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</si>
  <si>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</si>
  <si>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</si>
  <si>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</si>
  <si>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</si>
  <si>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</si>
  <si>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</si>
  <si>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</si>
  <si>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</si>
  <si>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</si>
  <si>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</si>
  <si>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</si>
  <si>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</si>
  <si>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</si>
  <si>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</si>
  <si>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</si>
  <si>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</si>
  <si>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</si>
  <si>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</si>
  <si>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</si>
  <si>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</si>
  <si>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</si>
  <si>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</si>
  <si>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</si>
  <si>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</si>
  <si>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</si>
  <si>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</si>
  <si>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</si>
  <si>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</si>
  <si>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</si>
  <si>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</si>
  <si>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</si>
  <si>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</si>
  <si>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</si>
  <si>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</si>
  <si>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</si>
  <si>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</si>
  <si>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</si>
  <si>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</si>
  <si>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</si>
  <si>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</si>
  <si>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</si>
  <si>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</si>
  <si>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</si>
  <si>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</si>
  <si>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</si>
  <si>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</si>
  <si>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</si>
  <si>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</si>
  <si>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</si>
  <si>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</si>
  <si>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</si>
  <si>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</si>
  <si>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</si>
  <si>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</si>
  <si>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</si>
  <si>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</si>
  <si>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</si>
  <si>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</si>
  <si>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</si>
  <si>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</si>
  <si>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</si>
  <si>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</si>
  <si>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</si>
  <si>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</si>
  <si>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</si>
  <si>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</si>
  <si>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</si>
  <si>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</si>
  <si>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</si>
  <si>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1 (Especificar)</t>
  </si>
  <si>
    <t>Outros Benefícios 2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</si>
  <si>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</si>
  <si>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</si>
  <si>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</si>
  <si>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</si>
  <si>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</si>
  <si>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</si>
  <si>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</si>
  <si>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</si>
  <si>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</si>
  <si>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</si>
  <si>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</si>
  <si>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</si>
  <si>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</si>
  <si>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</si>
  <si>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</si>
  <si>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</si>
  <si>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</si>
  <si>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</si>
  <si>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</si>
  <si>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</si>
  <si>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</si>
  <si>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</si>
  <si>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</si>
  <si>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</si>
  <si>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</si>
  <si>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</si>
  <si>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</si>
  <si>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</si>
  <si>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</si>
  <si>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</si>
  <si>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</si>
  <si>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</si>
  <si>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</si>
  <si>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</si>
  <si>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</si>
  <si>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</si>
  <si>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</si>
  <si>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</si>
  <si>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</si>
  <si>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RAMO: CONSELHO NACIONAL DO MINISTÉRIO PÚBLICO</t>
  </si>
  <si>
    <t>UNIDADE GESTORA (SIGLA): CNMP</t>
  </si>
  <si>
    <t>19.00.6150.0006327/2022-96</t>
  </si>
  <si>
    <t>COPEIRO</t>
  </si>
  <si>
    <t>POSTO</t>
  </si>
  <si>
    <t>5134-25</t>
  </si>
  <si>
    <t>Copeiro</t>
  </si>
  <si>
    <t>DF</t>
  </si>
  <si>
    <t>Materiais (insumos)</t>
  </si>
  <si>
    <t>Materiais (duráveis)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</si>
</sst>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0">
    <xf numFmtId="0" fontId="0" fillId="0" borderId="0" xfId="0"/>
    <xf numFmtId="0" fontId="25" fillId="27" borderId="10" xfId="0" applyFont="1" applyFill="1" applyBorder="1" applyAlignment="1">
      <alignment horizontal="center" vertical="center"/>
    </xf>
    <xf numFmtId="0" fontId="25" fillId="27" borderId="10" xfId="0" applyFont="1" applyFill="1" applyBorder="1" applyAlignment="1">
      <alignment horizontal="center" vertical="center" wrapText="1"/>
    </xf>
    <xf numFmtId="0" fontId="25" fillId="28" borderId="10" xfId="0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right" vertical="center" wrapText="1"/>
    </xf>
    <xf numFmtId="0" fontId="22" fillId="24" borderId="0" xfId="0" applyFont="1" applyFill="1"/>
    <xf numFmtId="0" fontId="22" fillId="25" borderId="0" xfId="0" applyFont="1" applyFill="1" applyAlignment="1">
      <alignment horizontal="left" vertical="center" wrapText="1"/>
    </xf>
    <xf numFmtId="0" fontId="19" fillId="25" borderId="0" xfId="0" applyFont="1" applyFill="1"/>
    <xf numFmtId="39" fontId="19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horizontal="left" vertical="center" wrapText="1"/>
    </xf>
    <xf numFmtId="0" fontId="23" fillId="25" borderId="0" xfId="0" applyFont="1" applyFill="1" applyAlignment="1">
      <alignment horizontal="left" vertical="center"/>
    </xf>
    <xf numFmtId="0" fontId="19" fillId="25" borderId="0" xfId="0" applyFont="1" applyFill="1" applyAlignment="1">
      <alignment horizontal="center"/>
    </xf>
    <xf numFmtId="0" fontId="19" fillId="26" borderId="0" xfId="0" applyFont="1" applyFill="1"/>
    <xf numFmtId="39" fontId="22" fillId="25" borderId="0" xfId="0" applyNumberFormat="1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/>
    </xf>
    <xf numFmtId="0" fontId="22" fillId="25" borderId="0" xfId="0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/>
    <xf numFmtId="0" fontId="25" fillId="25" borderId="0" xfId="0" applyFont="1" applyFill="1" applyAlignment="1">
      <alignment horizontal="center"/>
    </xf>
    <xf numFmtId="0" fontId="19" fillId="25" borderId="0" xfId="0" applyFont="1" applyFill="1" applyAlignment="1">
      <alignment horizontal="left"/>
    </xf>
    <xf numFmtId="0" fontId="19" fillId="29" borderId="10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Alignment="1">
      <alignment horizontal="left" vertical="center"/>
    </xf>
    <xf numFmtId="0" fontId="28" fillId="25" borderId="0" xfId="0" applyFont="1" applyFill="1" applyAlignment="1">
      <alignment horizontal="left" vertical="center" wrapText="1"/>
    </xf>
    <xf numFmtId="39" fontId="28" fillId="25" borderId="0" xfId="0" applyNumberFormat="1" applyFont="1" applyFill="1" applyAlignment="1">
      <alignment horizontal="center" vertical="center" wrapText="1"/>
    </xf>
    <xf numFmtId="39" fontId="19" fillId="29" borderId="10" xfId="0" applyNumberFormat="1" applyFont="1" applyFill="1" applyBorder="1" applyAlignment="1">
      <alignment horizontal="right" vertical="center" wrapText="1"/>
    </xf>
    <xf numFmtId="39" fontId="25" fillId="27" borderId="10" xfId="0" applyNumberFormat="1" applyFont="1" applyFill="1" applyBorder="1" applyAlignment="1">
      <alignment horizontal="right" vertical="center" wrapText="1"/>
    </xf>
    <xf numFmtId="2" fontId="19" fillId="29" borderId="10" xfId="0" applyNumberFormat="1" applyFont="1" applyFill="1" applyBorder="1" applyAlignment="1">
      <alignment horizontal="center" vertical="center"/>
    </xf>
    <xf numFmtId="2" fontId="25" fillId="27" borderId="10" xfId="0" applyNumberFormat="1" applyFont="1" applyFill="1" applyBorder="1" applyAlignment="1">
      <alignment horizontal="center" vertical="center"/>
    </xf>
    <xf numFmtId="4" fontId="25" fillId="34" borderId="10" xfId="0" applyNumberFormat="1" applyFont="1" applyFill="1" applyBorder="1" applyAlignment="1">
      <alignment horizontal="right" vertical="center" wrapText="1"/>
    </xf>
    <xf numFmtId="4" fontId="25" fillId="27" borderId="10" xfId="0" applyNumberFormat="1" applyFont="1" applyFill="1" applyBorder="1" applyAlignment="1">
      <alignment horizontal="right"/>
    </xf>
    <xf numFmtId="4" fontId="25" fillId="27" borderId="10" xfId="0" applyNumberFormat="1" applyFont="1" applyFill="1" applyBorder="1" applyAlignment="1">
      <alignment horizontal="right" vertical="center"/>
    </xf>
    <xf numFmtId="4" fontId="25" fillId="34" borderId="11" xfId="0" applyNumberFormat="1" applyFont="1" applyFill="1" applyBorder="1" applyAlignment="1">
      <alignment horizontal="right" vertical="center" wrapText="1"/>
    </xf>
    <xf numFmtId="0" fontId="25" fillId="27" borderId="11" xfId="0" applyFont="1" applyFill="1" applyBorder="1" applyAlignment="1">
      <alignment horizontal="center"/>
    </xf>
    <xf numFmtId="2" fontId="19" fillId="29" borderId="10" xfId="0" applyNumberFormat="1" applyFont="1" applyFill="1" applyBorder="1" applyAlignment="1">
      <alignment horizontal="center" vertical="center" wrapText="1"/>
    </xf>
    <xf numFmtId="39" fontId="19" fillId="29" borderId="11" xfId="0" applyNumberFormat="1" applyFont="1" applyFill="1" applyBorder="1" applyAlignment="1">
      <alignment horizontal="right" vertical="center" wrapText="1"/>
    </xf>
    <xf numFmtId="39" fontId="19" fillId="29" borderId="10" xfId="0" applyNumberFormat="1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center" vertical="center"/>
    </xf>
    <xf numFmtId="0" fontId="25" fillId="28" borderId="11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left"/>
    </xf>
    <xf numFmtId="0" fontId="32" fillId="25" borderId="0" xfId="0" applyFont="1" applyFill="1" applyAlignment="1">
      <alignment horizontal="left" vertical="center"/>
    </xf>
    <xf numFmtId="164" fontId="19" fillId="29" borderId="10" xfId="0" applyNumberFormat="1" applyFont="1" applyFill="1" applyBorder="1" applyAlignment="1">
      <alignment horizontal="center" vertical="center" wrapText="1"/>
    </xf>
    <xf numFmtId="4" fontId="19" fillId="35" borderId="10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right" vertical="center" wrapText="1"/>
    </xf>
    <xf numFmtId="2" fontId="19" fillId="35" borderId="10" xfId="0" applyNumberFormat="1" applyFont="1" applyFill="1" applyBorder="1" applyAlignment="1">
      <alignment horizontal="center" vertical="center" wrapText="1"/>
    </xf>
    <xf numFmtId="39" fontId="19" fillId="35" borderId="11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center" vertical="center" wrapText="1"/>
    </xf>
    <xf numFmtId="39" fontId="24" fillId="35" borderId="10" xfId="0" applyNumberFormat="1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right" vertical="center" wrapText="1"/>
    </xf>
    <xf numFmtId="39" fontId="24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/>
    </xf>
    <xf numFmtId="0" fontId="25" fillId="27" borderId="13" xfId="0" applyFont="1" applyFill="1" applyBorder="1" applyAlignment="1">
      <alignment horizontal="center" vertical="center" wrapText="1"/>
    </xf>
    <xf numFmtId="0" fontId="19" fillId="31" borderId="10" xfId="0" applyFont="1" applyFill="1" applyBorder="1" applyAlignment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>
      <alignment horizontal="right" vertical="center" wrapText="1"/>
    </xf>
    <xf numFmtId="165" fontId="19" fillId="29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165" fontId="19" fillId="35" borderId="10" xfId="0" applyNumberFormat="1" applyFont="1" applyFill="1" applyBorder="1" applyAlignment="1">
      <alignment horizontal="right" vertical="center" wrapText="1"/>
    </xf>
    <xf numFmtId="37" fontId="19" fillId="35" borderId="10" xfId="0" applyNumberFormat="1" applyFont="1" applyFill="1" applyBorder="1" applyAlignment="1">
      <alignment horizontal="right" vertical="center" wrapText="1"/>
    </xf>
    <xf numFmtId="37" fontId="19" fillId="29" borderId="10" xfId="0" applyNumberFormat="1" applyFont="1" applyFill="1" applyBorder="1" applyAlignment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30" borderId="13" xfId="0" applyFont="1" applyFill="1" applyBorder="1" applyProtection="1"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>
      <alignment horizontal="center" vertical="center"/>
    </xf>
    <xf numFmtId="0" fontId="25" fillId="27" borderId="12" xfId="0" applyFont="1" applyFill="1" applyBorder="1" applyAlignment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>
      <alignment horizontal="left" vertical="center" wrapText="1"/>
    </xf>
    <xf numFmtId="14" fontId="20" fillId="31" borderId="13" xfId="0" applyNumberFormat="1" applyFont="1" applyFill="1" applyBorder="1" applyAlignment="1">
      <alignment horizontal="right"/>
    </xf>
    <xf numFmtId="14" fontId="20" fillId="31" borderId="13" xfId="0" applyNumberFormat="1" applyFont="1" applyFill="1" applyBorder="1"/>
    <xf numFmtId="0" fontId="21" fillId="26" borderId="0" xfId="0" applyFont="1" applyFill="1"/>
    <xf numFmtId="14" fontId="19" fillId="36" borderId="10" xfId="0" applyNumberFormat="1" applyFon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0" fontId="27" fillId="25" borderId="0" xfId="0" applyFont="1" applyFill="1" applyAlignment="1">
      <alignment vertical="center"/>
    </xf>
    <xf numFmtId="0" fontId="19" fillId="25" borderId="0" xfId="0" applyFont="1" applyFill="1" applyAlignment="1">
      <alignment vertical="top"/>
    </xf>
    <xf numFmtId="0" fontId="21" fillId="26" borderId="0" xfId="0" applyFont="1" applyFill="1" applyAlignment="1">
      <alignment vertical="top"/>
    </xf>
    <xf numFmtId="0" fontId="28" fillId="25" borderId="0" xfId="0" applyFont="1" applyFill="1"/>
    <xf numFmtId="0" fontId="26" fillId="25" borderId="0" xfId="0" applyFont="1" applyFill="1"/>
    <xf numFmtId="0" fontId="26" fillId="25" borderId="0" xfId="0" applyFont="1" applyFill="1" applyAlignment="1">
      <alignment wrapText="1"/>
    </xf>
    <xf numFmtId="0" fontId="26" fillId="25" borderId="0" xfId="0" applyFont="1" applyFill="1" applyAlignment="1">
      <alignment horizontal="center" wrapText="1"/>
    </xf>
    <xf numFmtId="0" fontId="19" fillId="25" borderId="0" xfId="0" applyFont="1" applyFill="1" applyAlignment="1">
      <alignment wrapText="1"/>
    </xf>
    <xf numFmtId="37" fontId="19" fillId="35" borderId="10" xfId="0" applyNumberFormat="1" applyFont="1" applyFill="1" applyBorder="1" applyAlignment="1">
      <alignment horizontal="center"/>
    </xf>
    <xf numFmtId="0" fontId="22" fillId="24" borderId="0" xfId="0" applyFont="1" applyFill="1" applyAlignment="1">
      <alignment horizontal="left"/>
    </xf>
    <xf numFmtId="49" fontId="19" fillId="24" borderId="0" xfId="0" applyNumberFormat="1" applyFont="1" applyFill="1" applyAlignment="1">
      <alignment horizontal="center"/>
    </xf>
    <xf numFmtId="0" fontId="21" fillId="26" borderId="0" xfId="0" applyFont="1" applyFill="1" applyAlignment="1">
      <alignment horizontal="center" vertical="center"/>
    </xf>
    <xf numFmtId="14" fontId="19" fillId="26" borderId="0" xfId="0" applyNumberFormat="1" applyFont="1" applyFill="1" applyAlignment="1">
      <alignment horizontal="center"/>
    </xf>
    <xf numFmtId="0" fontId="27" fillId="25" borderId="0" xfId="0" applyFont="1" applyFill="1"/>
    <xf numFmtId="0" fontId="19" fillId="25" borderId="0" xfId="0" applyFont="1" applyFill="1" applyAlignment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/>
    <xf numFmtId="14" fontId="19" fillId="31" borderId="10" xfId="0" applyNumberFormat="1" applyFont="1" applyFill="1" applyBorder="1" applyAlignment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>
      <alignment horizontal="right"/>
    </xf>
    <xf numFmtId="49" fontId="19" fillId="31" borderId="10" xfId="0" applyNumberFormat="1" applyFont="1" applyFill="1" applyBorder="1" applyAlignment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>
      <alignment horizontal="left"/>
    </xf>
    <xf numFmtId="0" fontId="19" fillId="31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>
      <alignment horizontal="left" vertical="center" wrapText="1"/>
    </xf>
    <xf numFmtId="0" fontId="19" fillId="31" borderId="14" xfId="0" applyFont="1" applyFill="1" applyBorder="1" applyAlignment="1">
      <alignment horizontal="left" vertical="center" wrapText="1"/>
    </xf>
    <xf numFmtId="0" fontId="19" fillId="31" borderId="12" xfId="0" applyFont="1" applyFill="1" applyBorder="1" applyAlignment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Alignment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>
      <alignment horizontal="left"/>
    </xf>
    <xf numFmtId="0" fontId="25" fillId="28" borderId="13" xfId="0" applyFont="1" applyFill="1" applyBorder="1" applyAlignment="1">
      <alignment horizontal="left" vertical="center" wrapText="1"/>
    </xf>
    <xf numFmtId="0" fontId="25" fillId="28" borderId="12" xfId="0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>
      <alignment horizontal="justify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 wrapText="1"/>
    </xf>
    <xf numFmtId="0" fontId="19" fillId="29" borderId="14" xfId="0" applyFont="1" applyFill="1" applyBorder="1" applyAlignment="1">
      <alignment horizontal="left" vertical="center" wrapText="1"/>
    </xf>
    <xf numFmtId="0" fontId="19" fillId="29" borderId="12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>
      <alignment horizontal="left" vertical="center"/>
    </xf>
    <xf numFmtId="0" fontId="25" fillId="27" borderId="14" xfId="0" applyFont="1" applyFill="1" applyBorder="1" applyAlignment="1">
      <alignment horizontal="left" vertical="center"/>
    </xf>
    <xf numFmtId="0" fontId="25" fillId="27" borderId="12" xfId="0" applyFont="1" applyFill="1" applyBorder="1" applyAlignment="1">
      <alignment horizontal="left" vertical="center"/>
    </xf>
    <xf numFmtId="0" fontId="25" fillId="28" borderId="11" xfId="0" applyFont="1" applyFill="1" applyBorder="1" applyAlignment="1">
      <alignment horizontal="left" vertical="center" wrapText="1"/>
    </xf>
    <xf numFmtId="0" fontId="19" fillId="35" borderId="11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>
      <alignment horizontal="left" vertical="center"/>
    </xf>
    <xf numFmtId="39" fontId="19" fillId="35" borderId="10" xfId="0" applyNumberFormat="1" applyFont="1" applyFill="1" applyBorder="1" applyAlignment="1">
      <alignment horizontal="left" vertical="center" wrapText="1"/>
    </xf>
    <xf numFmtId="0" fontId="25" fillId="27" borderId="13" xfId="0" applyFont="1" applyFill="1" applyBorder="1" applyAlignment="1">
      <alignment horizontal="left" vertical="center" wrapText="1"/>
    </xf>
    <xf numFmtId="0" fontId="25" fillId="27" borderId="14" xfId="0" applyFont="1" applyFill="1" applyBorder="1" applyAlignment="1">
      <alignment horizontal="left" vertical="center" wrapText="1"/>
    </xf>
    <xf numFmtId="0" fontId="25" fillId="27" borderId="12" xfId="0" applyFont="1" applyFill="1" applyBorder="1" applyAlignment="1">
      <alignment horizontal="left" vertical="center" wrapText="1"/>
    </xf>
    <xf numFmtId="39" fontId="19" fillId="29" borderId="13" xfId="0" applyNumberFormat="1" applyFont="1" applyFill="1" applyBorder="1" applyAlignment="1">
      <alignment horizontal="left" vertical="center" wrapText="1"/>
    </xf>
    <xf numFmtId="39" fontId="19" fillId="29" borderId="14" xfId="0" applyNumberFormat="1" applyFont="1" applyFill="1" applyBorder="1" applyAlignment="1">
      <alignment horizontal="left" vertical="center" wrapText="1"/>
    </xf>
    <xf numFmtId="39" fontId="19" fillId="29" borderId="12" xfId="0" applyNumberFormat="1" applyFont="1" applyFill="1" applyBorder="1" applyAlignment="1">
      <alignment horizontal="left" vertical="center" wrapText="1"/>
    </xf>
    <xf numFmtId="0" fontId="25" fillId="28" borderId="10" xfId="0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/>
    </xf>
    <xf numFmtId="0" fontId="19" fillId="29" borderId="14" xfId="0" applyFont="1" applyFill="1" applyBorder="1" applyAlignment="1">
      <alignment horizontal="left" vertical="center"/>
    </xf>
    <xf numFmtId="0" fontId="19" fillId="29" borderId="12" xfId="0" applyFont="1" applyFill="1" applyBorder="1" applyAlignment="1">
      <alignment horizontal="left" vertical="center"/>
    </xf>
    <xf numFmtId="39" fontId="19" fillId="29" borderId="10" xfId="0" applyNumberFormat="1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justify" vertical="center" wrapText="1"/>
    </xf>
    <xf numFmtId="0" fontId="19" fillId="35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justify" vertical="center"/>
    </xf>
    <xf numFmtId="0" fontId="19" fillId="29" borderId="10" xfId="0" applyFont="1" applyFill="1" applyBorder="1" applyAlignment="1">
      <alignment horizontal="justify" vertical="center"/>
    </xf>
    <xf numFmtId="0" fontId="31" fillId="25" borderId="17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left" vertical="center" wrapText="1"/>
    </xf>
    <xf numFmtId="0" fontId="24" fillId="29" borderId="10" xfId="0" applyFont="1" applyFill="1" applyBorder="1" applyAlignment="1">
      <alignment horizontal="left" vertical="center" wrapText="1" indent="1"/>
    </xf>
    <xf numFmtId="0" fontId="24" fillId="35" borderId="10" xfId="0" applyFont="1" applyFill="1" applyBorder="1" applyAlignment="1">
      <alignment horizontal="left" vertical="center" wrapText="1" indent="1"/>
    </xf>
    <xf numFmtId="0" fontId="25" fillId="34" borderId="11" xfId="0" applyFont="1" applyFill="1" applyBorder="1" applyAlignment="1">
      <alignment horizontal="left" vertical="center" wrapText="1"/>
    </xf>
    <xf numFmtId="4" fontId="19" fillId="29" borderId="10" xfId="0" applyNumberFormat="1" applyFont="1" applyFill="1" applyBorder="1" applyAlignment="1">
      <alignment horizontal="left" vertical="center" wrapText="1"/>
    </xf>
    <xf numFmtId="4" fontId="19" fillId="29" borderId="11" xfId="0" applyNumberFormat="1" applyFont="1" applyFill="1" applyBorder="1" applyAlignment="1">
      <alignment horizontal="left" vertical="center" wrapText="1"/>
    </xf>
    <xf numFmtId="39" fontId="19" fillId="35" borderId="13" xfId="0" applyNumberFormat="1" applyFont="1" applyFill="1" applyBorder="1" applyAlignment="1">
      <alignment horizontal="left" vertical="center" wrapText="1"/>
    </xf>
    <xf numFmtId="39" fontId="19" fillId="35" borderId="14" xfId="0" applyNumberFormat="1" applyFont="1" applyFill="1" applyBorder="1" applyAlignment="1">
      <alignment horizontal="left" vertical="center" wrapText="1"/>
    </xf>
    <xf numFmtId="39" fontId="19" fillId="35" borderId="12" xfId="0" applyNumberFormat="1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justify" vertical="center" wrapText="1"/>
    </xf>
    <xf numFmtId="0" fontId="19" fillId="29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34" fillId="25" borderId="16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left" wrapText="1"/>
    </xf>
    <xf numFmtId="0" fontId="19" fillId="31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0" fontId="19" fillId="31" borderId="10" xfId="0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0" fontId="20" fillId="36" borderId="13" xfId="0" applyFont="1" applyFill="1" applyBorder="1" applyAlignment="1">
      <alignment horizontal="left"/>
    </xf>
    <xf numFmtId="0" fontId="20" fillId="36" borderId="14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1" borderId="13" xfId="0" applyFont="1" applyFill="1" applyBorder="1" applyAlignment="1">
      <alignment horizontal="left"/>
    </xf>
    <xf numFmtId="0" fontId="20" fillId="31" borderId="14" xfId="0" applyFont="1" applyFill="1" applyBorder="1" applyAlignment="1">
      <alignment horizontal="left"/>
    </xf>
    <xf numFmtId="0" fontId="20" fillId="31" borderId="12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center"/>
    </xf>
    <xf numFmtId="39" fontId="19" fillId="25" borderId="0" xfId="0" applyNumberFormat="1" applyFont="1" applyFill="1"/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selection activeCell="B1" sqref="B1:F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14" t="s">
        <v>183</v>
      </c>
      <c r="C1" s="115"/>
      <c r="D1" s="115"/>
      <c r="E1" s="115"/>
      <c r="F1" s="116"/>
    </row>
    <row r="2" spans="2:6" ht="20.25" x14ac:dyDescent="0.35">
      <c r="B2" s="114" t="s">
        <v>184</v>
      </c>
      <c r="C2" s="115"/>
      <c r="D2" s="116"/>
      <c r="E2" s="101" t="s">
        <v>50</v>
      </c>
      <c r="F2" s="71" t="s">
        <v>145</v>
      </c>
    </row>
    <row r="3" spans="2:6" x14ac:dyDescent="0.3">
      <c r="B3" s="79"/>
      <c r="C3" s="79"/>
      <c r="D3" s="79"/>
      <c r="E3" s="79"/>
      <c r="F3" s="79"/>
    </row>
    <row r="4" spans="2:6" s="79" customFormat="1" ht="25.5" x14ac:dyDescent="0.5">
      <c r="B4" s="117" t="s">
        <v>156</v>
      </c>
      <c r="C4" s="117"/>
      <c r="D4" s="117"/>
      <c r="E4" s="117"/>
      <c r="F4" s="117"/>
    </row>
    <row r="5" spans="2:6" s="79" customFormat="1" ht="15.95" customHeight="1" x14ac:dyDescent="0.3">
      <c r="B5" s="106" t="s">
        <v>89</v>
      </c>
      <c r="C5" s="106"/>
      <c r="D5" s="106"/>
      <c r="E5" s="106"/>
      <c r="F5" s="106"/>
    </row>
    <row r="6" spans="2:6" s="79" customFormat="1" ht="15.95" customHeight="1" x14ac:dyDescent="0.3">
      <c r="B6" s="109" t="s">
        <v>29</v>
      </c>
      <c r="C6" s="109"/>
      <c r="D6" s="118" t="s">
        <v>185</v>
      </c>
      <c r="E6" s="118"/>
      <c r="F6" s="118"/>
    </row>
    <row r="7" spans="2:6" s="79" customFormat="1" ht="15.75" customHeight="1" x14ac:dyDescent="0.3">
      <c r="B7" s="107" t="s">
        <v>30</v>
      </c>
      <c r="C7" s="107"/>
      <c r="D7" s="108" t="s">
        <v>31</v>
      </c>
      <c r="E7" s="108"/>
      <c r="F7" s="17" t="s">
        <v>146</v>
      </c>
    </row>
    <row r="8" spans="2:6" s="79" customFormat="1" ht="15.75" customHeight="1" x14ac:dyDescent="0.3">
      <c r="B8" s="109" t="s">
        <v>104</v>
      </c>
      <c r="C8" s="109"/>
      <c r="D8" s="104" t="s">
        <v>145</v>
      </c>
      <c r="E8" s="105"/>
      <c r="F8" s="17" t="s">
        <v>147</v>
      </c>
    </row>
    <row r="9" spans="2:6" s="79" customFormat="1" ht="9.75" customHeight="1" x14ac:dyDescent="0.3">
      <c r="C9" s="5"/>
      <c r="D9" s="91"/>
      <c r="E9" s="91"/>
      <c r="F9" s="92"/>
    </row>
    <row r="10" spans="2:6" s="79" customFormat="1" ht="15.75" customHeight="1" x14ac:dyDescent="0.3">
      <c r="B10" s="106" t="s">
        <v>103</v>
      </c>
      <c r="C10" s="106"/>
      <c r="D10" s="106"/>
      <c r="E10" s="106"/>
      <c r="F10" s="106"/>
    </row>
    <row r="11" spans="2:6" s="79" customFormat="1" ht="18" customHeight="1" x14ac:dyDescent="0.3">
      <c r="B11" s="18" t="s">
        <v>2</v>
      </c>
      <c r="C11" s="109" t="s">
        <v>56</v>
      </c>
      <c r="D11" s="109"/>
      <c r="E11" s="109"/>
      <c r="F11" s="19" t="s">
        <v>145</v>
      </c>
    </row>
    <row r="12" spans="2:6" s="79" customFormat="1" ht="15.95" customHeight="1" x14ac:dyDescent="0.15">
      <c r="B12" s="1" t="s">
        <v>3</v>
      </c>
      <c r="C12" s="57" t="s">
        <v>32</v>
      </c>
      <c r="D12" s="110"/>
      <c r="E12" s="110"/>
      <c r="F12" s="110"/>
    </row>
    <row r="13" spans="2:6" s="79" customFormat="1" ht="15.95" customHeight="1" x14ac:dyDescent="0.3">
      <c r="B13" s="18" t="s">
        <v>4</v>
      </c>
      <c r="C13" s="109" t="s">
        <v>137</v>
      </c>
      <c r="D13" s="109"/>
      <c r="E13" s="109"/>
      <c r="F13" s="59" t="s">
        <v>190</v>
      </c>
    </row>
    <row r="14" spans="2:6" s="79" customFormat="1" ht="18.75" customHeight="1" x14ac:dyDescent="0.3">
      <c r="B14" s="1" t="s">
        <v>5</v>
      </c>
      <c r="C14" s="111" t="s">
        <v>33</v>
      </c>
      <c r="D14" s="112"/>
      <c r="E14" s="113"/>
      <c r="F14" s="17"/>
    </row>
    <row r="15" spans="2:6" s="79" customFormat="1" ht="15.95" customHeight="1" x14ac:dyDescent="0.3">
      <c r="B15" s="1" t="s">
        <v>6</v>
      </c>
      <c r="C15" s="109" t="s">
        <v>57</v>
      </c>
      <c r="D15" s="109"/>
      <c r="E15" s="109"/>
      <c r="F15" s="55">
        <v>12</v>
      </c>
    </row>
    <row r="16" spans="2:6" s="79" customFormat="1" ht="15.95" customHeight="1" x14ac:dyDescent="0.3">
      <c r="C16" s="5"/>
      <c r="D16" s="91"/>
      <c r="E16" s="91"/>
      <c r="F16" s="92"/>
    </row>
    <row r="17" spans="2:6" s="79" customFormat="1" x14ac:dyDescent="0.3">
      <c r="B17" s="106" t="s">
        <v>105</v>
      </c>
      <c r="C17" s="106"/>
      <c r="D17" s="106"/>
      <c r="E17" s="106"/>
      <c r="F17" s="106"/>
    </row>
    <row r="18" spans="2:6" s="93" customFormat="1" ht="49.5" x14ac:dyDescent="0.2">
      <c r="B18" s="73" t="s">
        <v>138</v>
      </c>
      <c r="C18" s="73" t="s">
        <v>26</v>
      </c>
      <c r="D18" s="56" t="s">
        <v>106</v>
      </c>
      <c r="E18" s="56" t="s">
        <v>157</v>
      </c>
      <c r="F18" s="56" t="s">
        <v>107</v>
      </c>
    </row>
    <row r="19" spans="2:6" s="79" customFormat="1" ht="16.5" customHeight="1" x14ac:dyDescent="0.3">
      <c r="B19" s="18">
        <v>1</v>
      </c>
      <c r="C19" s="100" t="s">
        <v>186</v>
      </c>
      <c r="D19" s="75" t="s">
        <v>187</v>
      </c>
      <c r="E19" s="97">
        <v>1</v>
      </c>
      <c r="F19" s="75">
        <v>4</v>
      </c>
    </row>
    <row r="20" spans="2:6" s="79" customFormat="1" ht="15.95" customHeight="1" x14ac:dyDescent="0.3">
      <c r="B20" s="11"/>
      <c r="C20" s="11"/>
      <c r="D20" s="11"/>
      <c r="E20" s="11"/>
      <c r="F20" s="11"/>
    </row>
    <row r="21" spans="2:6" s="79" customFormat="1" ht="15" customHeight="1" x14ac:dyDescent="0.3">
      <c r="B21" s="106" t="s">
        <v>108</v>
      </c>
      <c r="C21" s="106"/>
      <c r="D21" s="106"/>
      <c r="E21" s="106"/>
      <c r="F21" s="106"/>
    </row>
    <row r="22" spans="2:6" s="79" customFormat="1" ht="15" customHeight="1" x14ac:dyDescent="0.3">
      <c r="B22" s="18">
        <v>1</v>
      </c>
      <c r="C22" s="98" t="s">
        <v>52</v>
      </c>
      <c r="D22" s="123" t="s">
        <v>188</v>
      </c>
      <c r="E22" s="123"/>
      <c r="F22" s="123"/>
    </row>
    <row r="23" spans="2:6" s="79" customFormat="1" ht="15.95" customHeight="1" x14ac:dyDescent="0.3">
      <c r="B23" s="18">
        <v>2</v>
      </c>
      <c r="C23" s="20" t="s">
        <v>54</v>
      </c>
      <c r="D23" s="123" t="s">
        <v>189</v>
      </c>
      <c r="E23" s="123"/>
      <c r="F23" s="123"/>
    </row>
    <row r="24" spans="2:6" s="79" customFormat="1" ht="15.95" customHeight="1" x14ac:dyDescent="0.3">
      <c r="B24" s="18">
        <v>3</v>
      </c>
      <c r="C24" s="119" t="s">
        <v>55</v>
      </c>
      <c r="D24" s="119"/>
      <c r="E24" s="119"/>
      <c r="F24" s="19">
        <v>44562</v>
      </c>
    </row>
    <row r="25" spans="2:6" s="79" customFormat="1" ht="15.95" customHeight="1" x14ac:dyDescent="0.3">
      <c r="B25" s="18">
        <v>4</v>
      </c>
      <c r="C25" s="122" t="s">
        <v>131</v>
      </c>
      <c r="D25" s="122"/>
      <c r="E25" s="122"/>
      <c r="F25" s="58">
        <v>1212</v>
      </c>
    </row>
    <row r="26" spans="2:6" s="79" customFormat="1" x14ac:dyDescent="0.3">
      <c r="B26" s="21"/>
      <c r="C26" s="22"/>
      <c r="D26" s="22"/>
      <c r="E26" s="22"/>
      <c r="F26" s="94"/>
    </row>
    <row r="27" spans="2:6" s="79" customFormat="1" ht="25.5" x14ac:dyDescent="0.5">
      <c r="B27" s="95" t="s">
        <v>150</v>
      </c>
      <c r="C27" s="7"/>
      <c r="D27" s="7"/>
      <c r="E27" s="7"/>
      <c r="F27" s="7"/>
    </row>
    <row r="28" spans="2:6" x14ac:dyDescent="0.3">
      <c r="B28" s="44" t="s">
        <v>8</v>
      </c>
      <c r="E28" s="8"/>
      <c r="F28" s="8"/>
    </row>
    <row r="29" spans="2:6" x14ac:dyDescent="0.3">
      <c r="B29" s="1">
        <v>1</v>
      </c>
      <c r="C29" s="152" t="s">
        <v>9</v>
      </c>
      <c r="D29" s="152"/>
      <c r="E29" s="152"/>
      <c r="F29" s="3" t="s">
        <v>113</v>
      </c>
    </row>
    <row r="30" spans="2:6" x14ac:dyDescent="0.3">
      <c r="B30" s="1" t="s">
        <v>2</v>
      </c>
      <c r="C30" s="145" t="s">
        <v>83</v>
      </c>
      <c r="D30" s="145"/>
      <c r="E30" s="145"/>
      <c r="F30" s="66">
        <v>1416.75</v>
      </c>
    </row>
    <row r="31" spans="2:6" x14ac:dyDescent="0.3">
      <c r="B31" s="1" t="s">
        <v>3</v>
      </c>
      <c r="C31" s="129" t="s">
        <v>74</v>
      </c>
      <c r="D31" s="130"/>
      <c r="E31" s="131"/>
      <c r="F31" s="67"/>
    </row>
    <row r="32" spans="2:6" x14ac:dyDescent="0.3">
      <c r="B32" s="1" t="s">
        <v>4</v>
      </c>
      <c r="C32" s="145" t="s">
        <v>76</v>
      </c>
      <c r="D32" s="145"/>
      <c r="E32" s="145"/>
      <c r="F32" s="67"/>
    </row>
    <row r="33" spans="1:6" x14ac:dyDescent="0.3">
      <c r="B33" s="1" t="s">
        <v>5</v>
      </c>
      <c r="C33" s="149" t="s">
        <v>151</v>
      </c>
      <c r="D33" s="150"/>
      <c r="E33" s="151"/>
      <c r="F33" s="67"/>
    </row>
    <row r="34" spans="1:6" x14ac:dyDescent="0.3">
      <c r="B34" s="1" t="s">
        <v>6</v>
      </c>
      <c r="C34" s="124" t="s">
        <v>139</v>
      </c>
      <c r="D34" s="124"/>
      <c r="E34" s="124"/>
      <c r="F34" s="66"/>
    </row>
    <row r="35" spans="1:6" x14ac:dyDescent="0.3">
      <c r="B35" s="1" t="s">
        <v>7</v>
      </c>
      <c r="C35" s="124" t="s">
        <v>140</v>
      </c>
      <c r="D35" s="124"/>
      <c r="E35" s="124"/>
      <c r="F35" s="66"/>
    </row>
    <row r="36" spans="1:6" x14ac:dyDescent="0.3">
      <c r="B36" s="1" t="s">
        <v>10</v>
      </c>
      <c r="C36" s="124" t="s">
        <v>141</v>
      </c>
      <c r="D36" s="124"/>
      <c r="E36" s="124"/>
      <c r="F36" s="66"/>
    </row>
    <row r="37" spans="1:6" s="86" customFormat="1" x14ac:dyDescent="0.3"/>
    <row r="38" spans="1:6" s="86" customFormat="1" x14ac:dyDescent="0.3">
      <c r="A38" s="7"/>
      <c r="B38" s="44" t="s">
        <v>58</v>
      </c>
      <c r="C38" s="12"/>
      <c r="D38" s="12"/>
      <c r="E38" s="14"/>
      <c r="F38" s="14"/>
    </row>
    <row r="39" spans="1:6" s="86" customFormat="1" x14ac:dyDescent="0.3">
      <c r="A39" s="7"/>
      <c r="B39" s="44" t="s">
        <v>63</v>
      </c>
      <c r="C39" s="79"/>
      <c r="D39" s="79"/>
      <c r="E39" s="79"/>
      <c r="F39" s="79"/>
    </row>
    <row r="40" spans="1:6" s="86" customFormat="1" ht="15" customHeight="1" x14ac:dyDescent="0.3">
      <c r="A40" s="7"/>
      <c r="B40" s="1" t="s">
        <v>82</v>
      </c>
      <c r="C40" s="120" t="s">
        <v>14</v>
      </c>
      <c r="D40" s="121"/>
      <c r="E40" s="3" t="s">
        <v>34</v>
      </c>
      <c r="F40" s="3" t="s">
        <v>114</v>
      </c>
    </row>
    <row r="41" spans="1:6" s="86" customFormat="1" x14ac:dyDescent="0.3">
      <c r="A41" s="7"/>
      <c r="B41" s="74" t="s">
        <v>2</v>
      </c>
      <c r="C41" s="119" t="s">
        <v>15</v>
      </c>
      <c r="D41" s="119"/>
      <c r="E41" s="55" t="s">
        <v>35</v>
      </c>
      <c r="F41" s="26">
        <v>11</v>
      </c>
    </row>
    <row r="42" spans="1:6" s="86" customFormat="1" x14ac:dyDescent="0.3">
      <c r="B42" s="74" t="s">
        <v>3</v>
      </c>
      <c r="C42" s="122" t="s">
        <v>62</v>
      </c>
      <c r="D42" s="122"/>
      <c r="E42" s="23" t="s">
        <v>35</v>
      </c>
      <c r="F42" s="26">
        <v>38</v>
      </c>
    </row>
    <row r="43" spans="1:6" s="86" customFormat="1" x14ac:dyDescent="0.3">
      <c r="B43" s="74" t="s">
        <v>4</v>
      </c>
      <c r="C43" s="119" t="s">
        <v>153</v>
      </c>
      <c r="D43" s="119"/>
      <c r="E43" s="55" t="s">
        <v>134</v>
      </c>
      <c r="F43" s="70">
        <v>22</v>
      </c>
    </row>
    <row r="44" spans="1:6" x14ac:dyDescent="0.3">
      <c r="B44" s="74" t="s">
        <v>5</v>
      </c>
      <c r="C44" s="133" t="s">
        <v>142</v>
      </c>
      <c r="D44" s="134"/>
      <c r="E44" s="72"/>
      <c r="F44" s="66"/>
    </row>
    <row r="45" spans="1:6" x14ac:dyDescent="0.3">
      <c r="B45" s="74" t="s">
        <v>6</v>
      </c>
      <c r="C45" s="133" t="s">
        <v>143</v>
      </c>
      <c r="D45" s="134"/>
      <c r="E45" s="72"/>
      <c r="F45" s="66"/>
    </row>
    <row r="46" spans="1:6" x14ac:dyDescent="0.3">
      <c r="B46" s="74" t="s">
        <v>7</v>
      </c>
      <c r="C46" s="133" t="s">
        <v>144</v>
      </c>
      <c r="D46" s="134"/>
      <c r="E46" s="72"/>
      <c r="F46" s="66"/>
    </row>
    <row r="47" spans="1:6" s="86" customFormat="1" x14ac:dyDescent="0.3"/>
    <row r="48" spans="1:6" s="79" customFormat="1" x14ac:dyDescent="0.3">
      <c r="B48" s="44" t="s">
        <v>65</v>
      </c>
      <c r="C48" s="6"/>
      <c r="D48" s="15"/>
      <c r="E48" s="7"/>
      <c r="F48" s="7"/>
    </row>
    <row r="49" spans="1:6" s="79" customFormat="1" ht="15" customHeight="1" x14ac:dyDescent="0.3">
      <c r="B49" s="44" t="s">
        <v>94</v>
      </c>
      <c r="C49" s="6"/>
      <c r="D49" s="15"/>
      <c r="E49" s="13"/>
      <c r="F49" s="13"/>
    </row>
    <row r="50" spans="1:6" x14ac:dyDescent="0.3">
      <c r="A50" s="79"/>
      <c r="B50" s="1" t="s">
        <v>19</v>
      </c>
      <c r="C50" s="146" t="s">
        <v>95</v>
      </c>
      <c r="D50" s="147"/>
      <c r="E50" s="148"/>
      <c r="F50" s="3" t="s">
        <v>1</v>
      </c>
    </row>
    <row r="51" spans="1:6" s="86" customFormat="1" x14ac:dyDescent="0.3">
      <c r="B51" s="2" t="s">
        <v>2</v>
      </c>
      <c r="C51" s="141" t="s">
        <v>148</v>
      </c>
      <c r="D51" s="142"/>
      <c r="E51" s="143"/>
      <c r="F51" s="68"/>
    </row>
    <row r="52" spans="1:6" x14ac:dyDescent="0.3">
      <c r="B52" s="86"/>
      <c r="C52" s="86"/>
      <c r="D52" s="86"/>
      <c r="E52" s="86"/>
      <c r="F52" s="86"/>
    </row>
    <row r="53" spans="1:6" x14ac:dyDescent="0.3">
      <c r="B53" s="44" t="s">
        <v>177</v>
      </c>
      <c r="C53" s="6"/>
      <c r="D53" s="15"/>
      <c r="E53" s="13"/>
      <c r="F53" s="13"/>
    </row>
    <row r="54" spans="1:6" x14ac:dyDescent="0.3">
      <c r="B54" s="1" t="s">
        <v>20</v>
      </c>
      <c r="C54" s="144" t="s">
        <v>176</v>
      </c>
      <c r="D54" s="144"/>
      <c r="E54" s="144"/>
      <c r="F54" s="3" t="s">
        <v>172</v>
      </c>
    </row>
    <row r="55" spans="1:6" ht="15" customHeight="1" x14ac:dyDescent="0.3">
      <c r="B55" s="1" t="s">
        <v>2</v>
      </c>
      <c r="C55" s="145" t="s">
        <v>118</v>
      </c>
      <c r="D55" s="145"/>
      <c r="E55" s="145"/>
      <c r="F55" s="67"/>
    </row>
    <row r="56" spans="1:6" s="86" customFormat="1" x14ac:dyDescent="0.3">
      <c r="B56" s="1" t="s">
        <v>3</v>
      </c>
      <c r="C56" s="129" t="s">
        <v>127</v>
      </c>
      <c r="D56" s="130"/>
      <c r="E56" s="131"/>
      <c r="F56" s="67"/>
    </row>
    <row r="57" spans="1:6" x14ac:dyDescent="0.3">
      <c r="B57" s="86"/>
      <c r="C57" s="86"/>
      <c r="D57" s="86"/>
      <c r="E57" s="86"/>
      <c r="F57" s="86"/>
    </row>
    <row r="58" spans="1:6" ht="15.75" customHeight="1" x14ac:dyDescent="0.3">
      <c r="B58" s="44" t="s">
        <v>69</v>
      </c>
      <c r="C58" s="6"/>
      <c r="D58" s="6"/>
      <c r="E58" s="13"/>
      <c r="F58" s="13"/>
    </row>
    <row r="59" spans="1:6" x14ac:dyDescent="0.3">
      <c r="B59" s="42">
        <v>5</v>
      </c>
      <c r="C59" s="138" t="s">
        <v>0</v>
      </c>
      <c r="D59" s="138"/>
      <c r="E59" s="138"/>
      <c r="F59" s="43" t="s">
        <v>13</v>
      </c>
    </row>
    <row r="60" spans="1:6" x14ac:dyDescent="0.3">
      <c r="B60" s="38" t="s">
        <v>2</v>
      </c>
      <c r="C60" s="139" t="s">
        <v>16</v>
      </c>
      <c r="D60" s="139"/>
      <c r="E60" s="139"/>
      <c r="F60" s="69">
        <v>141.59</v>
      </c>
    </row>
    <row r="61" spans="1:6" s="87" customFormat="1" x14ac:dyDescent="0.3">
      <c r="A61" s="7"/>
      <c r="B61" s="38" t="s">
        <v>3</v>
      </c>
      <c r="C61" s="140" t="s">
        <v>191</v>
      </c>
      <c r="D61" s="140"/>
      <c r="E61" s="140"/>
      <c r="F61" s="69">
        <v>1842.02</v>
      </c>
    </row>
    <row r="62" spans="1:6" s="87" customFormat="1" x14ac:dyDescent="0.3">
      <c r="A62" s="7"/>
      <c r="B62" s="38" t="s">
        <v>4</v>
      </c>
      <c r="C62" s="139" t="s">
        <v>192</v>
      </c>
      <c r="D62" s="139"/>
      <c r="E62" s="139"/>
      <c r="F62" s="69">
        <v>21.74</v>
      </c>
    </row>
    <row r="63" spans="1:6" s="86" customFormat="1" x14ac:dyDescent="0.3">
      <c r="B63" s="38" t="s">
        <v>5</v>
      </c>
      <c r="C63" s="140" t="s">
        <v>17</v>
      </c>
      <c r="D63" s="140"/>
      <c r="E63" s="140"/>
      <c r="F63" s="69">
        <v>27.94</v>
      </c>
    </row>
    <row r="64" spans="1:6" s="88" customFormat="1" ht="16.5" customHeight="1" x14ac:dyDescent="0.3">
      <c r="A64" s="7"/>
      <c r="B64" s="86"/>
      <c r="C64" s="86"/>
      <c r="D64" s="86"/>
      <c r="E64" s="86"/>
      <c r="F64" s="86"/>
    </row>
    <row r="65" spans="1:6" s="89" customFormat="1" ht="16.5" customHeight="1" x14ac:dyDescent="0.3">
      <c r="A65" s="7"/>
      <c r="B65" s="132" t="s">
        <v>68</v>
      </c>
      <c r="C65" s="132"/>
      <c r="D65" s="132"/>
      <c r="E65" s="132"/>
      <c r="F65" s="132"/>
    </row>
    <row r="66" spans="1:6" s="89" customFormat="1" x14ac:dyDescent="0.3">
      <c r="A66" s="87"/>
      <c r="B66" s="1">
        <v>6</v>
      </c>
      <c r="C66" s="135" t="s">
        <v>21</v>
      </c>
      <c r="D66" s="136"/>
      <c r="E66" s="137"/>
      <c r="F66" s="3" t="s">
        <v>1</v>
      </c>
    </row>
    <row r="67" spans="1:6" s="89" customFormat="1" x14ac:dyDescent="0.3">
      <c r="A67" s="87"/>
      <c r="B67" s="1" t="s">
        <v>2</v>
      </c>
      <c r="C67" s="126" t="s">
        <v>70</v>
      </c>
      <c r="D67" s="127"/>
      <c r="E67" s="128"/>
      <c r="F67" s="103">
        <v>4.7300000000000004</v>
      </c>
    </row>
    <row r="68" spans="1:6" s="89" customFormat="1" x14ac:dyDescent="0.3">
      <c r="A68" s="88"/>
      <c r="B68" s="2" t="s">
        <v>3</v>
      </c>
      <c r="C68" s="129" t="s">
        <v>28</v>
      </c>
      <c r="D68" s="130"/>
      <c r="E68" s="131"/>
      <c r="F68" s="103">
        <v>5.57</v>
      </c>
    </row>
    <row r="69" spans="1:6" x14ac:dyDescent="0.3">
      <c r="B69" s="24" t="s">
        <v>71</v>
      </c>
      <c r="C69" s="126" t="s">
        <v>23</v>
      </c>
      <c r="D69" s="127"/>
      <c r="E69" s="128">
        <f>PERC_PIS</f>
        <v>0.65</v>
      </c>
      <c r="F69" s="103">
        <v>0.65</v>
      </c>
    </row>
    <row r="70" spans="1:6" x14ac:dyDescent="0.3">
      <c r="B70" s="24" t="s">
        <v>72</v>
      </c>
      <c r="C70" s="129" t="s">
        <v>24</v>
      </c>
      <c r="D70" s="130"/>
      <c r="E70" s="131">
        <f>PERC_COFINS</f>
        <v>3</v>
      </c>
      <c r="F70" s="103">
        <v>3</v>
      </c>
    </row>
    <row r="71" spans="1:6" s="86" customFormat="1" x14ac:dyDescent="0.3">
      <c r="B71" s="24" t="s">
        <v>73</v>
      </c>
      <c r="C71" s="126" t="s">
        <v>25</v>
      </c>
      <c r="D71" s="127"/>
      <c r="E71" s="128">
        <f>PERC_ISS</f>
        <v>5</v>
      </c>
      <c r="F71" s="103">
        <v>5</v>
      </c>
    </row>
    <row r="72" spans="1:6" x14ac:dyDescent="0.3">
      <c r="B72" s="86"/>
      <c r="C72" s="86"/>
      <c r="D72" s="86"/>
      <c r="E72" s="86"/>
      <c r="F72" s="86"/>
    </row>
    <row r="73" spans="1:6" ht="33.75" customHeight="1" x14ac:dyDescent="0.3">
      <c r="B73" s="27" t="s">
        <v>149</v>
      </c>
      <c r="C73" s="28"/>
      <c r="D73" s="28"/>
      <c r="E73" s="28"/>
      <c r="F73" s="29"/>
    </row>
    <row r="74" spans="1:6" ht="32.25" customHeight="1" x14ac:dyDescent="0.3">
      <c r="B74" s="125" t="s">
        <v>173</v>
      </c>
      <c r="C74" s="125"/>
      <c r="D74" s="125"/>
      <c r="E74" s="125"/>
      <c r="F74" s="125"/>
    </row>
  </sheetData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74:F74"/>
    <mergeCell ref="C69:E69"/>
    <mergeCell ref="C71:E71"/>
    <mergeCell ref="C68:E68"/>
    <mergeCell ref="C70:E70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1:6" s="79" customFormat="1" ht="25.5" x14ac:dyDescent="0.5">
      <c r="B1" s="95" t="s">
        <v>158</v>
      </c>
      <c r="C1" s="7"/>
      <c r="D1" s="7"/>
      <c r="E1" s="7"/>
      <c r="F1" s="7"/>
    </row>
    <row r="2" spans="1:6" x14ac:dyDescent="0.3">
      <c r="B2" s="44" t="s">
        <v>8</v>
      </c>
      <c r="E2" s="8"/>
      <c r="F2" s="8"/>
    </row>
    <row r="3" spans="1:6" ht="33" x14ac:dyDescent="0.3">
      <c r="B3" s="1">
        <v>1</v>
      </c>
      <c r="C3" s="152" t="s">
        <v>9</v>
      </c>
      <c r="D3" s="152"/>
      <c r="E3" s="152"/>
      <c r="F3" s="3" t="s">
        <v>178</v>
      </c>
    </row>
    <row r="4" spans="1:6" x14ac:dyDescent="0.3">
      <c r="B4" s="1" t="s">
        <v>6</v>
      </c>
      <c r="C4" s="126" t="s">
        <v>116</v>
      </c>
      <c r="D4" s="127"/>
      <c r="E4" s="128"/>
      <c r="F4" s="62">
        <v>220</v>
      </c>
    </row>
    <row r="5" spans="1:6" x14ac:dyDescent="0.3">
      <c r="B5" s="1" t="s">
        <v>7</v>
      </c>
      <c r="C5" s="156" t="s">
        <v>110</v>
      </c>
      <c r="D5" s="156"/>
      <c r="E5" s="156"/>
      <c r="F5" s="60">
        <v>7</v>
      </c>
    </row>
    <row r="6" spans="1:6" x14ac:dyDescent="0.3">
      <c r="B6" s="1" t="s">
        <v>10</v>
      </c>
      <c r="C6" s="126" t="s">
        <v>109</v>
      </c>
      <c r="D6" s="127"/>
      <c r="E6" s="128"/>
      <c r="F6" s="62">
        <v>365</v>
      </c>
    </row>
    <row r="7" spans="1:6" x14ac:dyDescent="0.3">
      <c r="B7" s="1" t="s">
        <v>12</v>
      </c>
      <c r="C7" s="156" t="s">
        <v>135</v>
      </c>
      <c r="D7" s="156"/>
      <c r="E7" s="156"/>
      <c r="F7" s="61">
        <v>15.2</v>
      </c>
    </row>
    <row r="8" spans="1:6" x14ac:dyDescent="0.3">
      <c r="B8" s="1" t="s">
        <v>115</v>
      </c>
      <c r="C8" s="126" t="s">
        <v>117</v>
      </c>
      <c r="D8" s="127"/>
      <c r="E8" s="128"/>
      <c r="F8" s="62">
        <v>12</v>
      </c>
    </row>
    <row r="9" spans="1:6" x14ac:dyDescent="0.3">
      <c r="B9" s="1" t="s">
        <v>122</v>
      </c>
      <c r="C9" s="156" t="s">
        <v>111</v>
      </c>
      <c r="D9" s="156"/>
      <c r="E9" s="156"/>
      <c r="F9" s="60">
        <v>60</v>
      </c>
    </row>
    <row r="10" spans="1:6" x14ac:dyDescent="0.3">
      <c r="B10" s="1" t="s">
        <v>123</v>
      </c>
      <c r="C10" s="126" t="s">
        <v>112</v>
      </c>
      <c r="D10" s="127"/>
      <c r="E10" s="128"/>
      <c r="F10" s="63">
        <v>52.5</v>
      </c>
    </row>
    <row r="11" spans="1:6" s="86" customFormat="1" x14ac:dyDescent="0.3"/>
    <row r="12" spans="1:6" s="86" customFormat="1" x14ac:dyDescent="0.3">
      <c r="A12" s="7"/>
      <c r="B12" s="44" t="s">
        <v>63</v>
      </c>
      <c r="C12" s="79"/>
      <c r="D12" s="79"/>
      <c r="E12" s="79"/>
      <c r="F12" s="79"/>
    </row>
    <row r="13" spans="1:6" s="86" customFormat="1" ht="15" customHeight="1" x14ac:dyDescent="0.3">
      <c r="A13" s="7"/>
      <c r="B13" s="1" t="s">
        <v>82</v>
      </c>
      <c r="C13" s="120" t="s">
        <v>14</v>
      </c>
      <c r="D13" s="121"/>
      <c r="E13" s="3" t="s">
        <v>34</v>
      </c>
      <c r="F13" s="3" t="s">
        <v>1</v>
      </c>
    </row>
    <row r="14" spans="1:6" s="86" customFormat="1" x14ac:dyDescent="0.3">
      <c r="B14" s="74" t="s">
        <v>4</v>
      </c>
      <c r="C14" s="122" t="s">
        <v>136</v>
      </c>
      <c r="D14" s="122"/>
      <c r="E14" s="23" t="s">
        <v>134</v>
      </c>
      <c r="F14" s="65">
        <v>6</v>
      </c>
    </row>
    <row r="15" spans="1:6" s="86" customFormat="1" x14ac:dyDescent="0.3"/>
    <row r="16" spans="1:6" s="79" customFormat="1" x14ac:dyDescent="0.3">
      <c r="A16" s="86"/>
      <c r="B16" s="44" t="s">
        <v>64</v>
      </c>
      <c r="C16" s="6"/>
      <c r="D16" s="15"/>
      <c r="E16" s="13"/>
      <c r="F16" s="13"/>
    </row>
    <row r="17" spans="1:6" s="79" customFormat="1" x14ac:dyDescent="0.3">
      <c r="A17" s="86"/>
      <c r="B17" s="1">
        <v>3</v>
      </c>
      <c r="C17" s="135" t="s">
        <v>44</v>
      </c>
      <c r="D17" s="136"/>
      <c r="E17" s="137"/>
      <c r="F17" s="3" t="s">
        <v>179</v>
      </c>
    </row>
    <row r="18" spans="1:6" s="79" customFormat="1" x14ac:dyDescent="0.3">
      <c r="A18" s="86"/>
      <c r="B18" s="1" t="s">
        <v>2</v>
      </c>
      <c r="C18" s="126" t="s">
        <v>130</v>
      </c>
      <c r="D18" s="127"/>
      <c r="E18" s="128"/>
      <c r="F18" s="48">
        <v>62.93</v>
      </c>
    </row>
    <row r="19" spans="1:6" x14ac:dyDescent="0.3">
      <c r="A19" s="86"/>
      <c r="B19" s="2" t="s">
        <v>3</v>
      </c>
      <c r="C19" s="153" t="s">
        <v>119</v>
      </c>
      <c r="D19" s="154"/>
      <c r="E19" s="155"/>
      <c r="F19" s="30">
        <v>5.55</v>
      </c>
    </row>
    <row r="20" spans="1:6" s="79" customFormat="1" ht="15.95" customHeight="1" x14ac:dyDescent="0.15">
      <c r="B20" s="2" t="s">
        <v>4</v>
      </c>
      <c r="C20" s="126" t="s">
        <v>120</v>
      </c>
      <c r="D20" s="127"/>
      <c r="E20" s="128"/>
      <c r="F20" s="64">
        <v>40</v>
      </c>
    </row>
    <row r="21" spans="1:6" ht="16.5" customHeight="1" x14ac:dyDescent="0.3">
      <c r="A21" s="86"/>
      <c r="B21" s="2" t="s">
        <v>5</v>
      </c>
      <c r="C21" s="153" t="s">
        <v>121</v>
      </c>
      <c r="D21" s="154"/>
      <c r="E21" s="155"/>
      <c r="F21" s="65">
        <v>94.45</v>
      </c>
    </row>
    <row r="22" spans="1:6" x14ac:dyDescent="0.3">
      <c r="A22" s="86"/>
      <c r="B22" s="2" t="s">
        <v>6</v>
      </c>
      <c r="C22" s="126" t="s">
        <v>132</v>
      </c>
      <c r="D22" s="127"/>
      <c r="E22" s="128"/>
      <c r="F22" s="64">
        <v>30</v>
      </c>
    </row>
    <row r="23" spans="1:6" s="86" customFormat="1" x14ac:dyDescent="0.3"/>
    <row r="24" spans="1:6" s="79" customFormat="1" x14ac:dyDescent="0.3">
      <c r="B24" s="44" t="s">
        <v>65</v>
      </c>
      <c r="C24" s="6"/>
      <c r="D24" s="15"/>
      <c r="E24" s="7"/>
      <c r="F24" s="7"/>
    </row>
    <row r="25" spans="1:6" s="79" customFormat="1" ht="15" customHeight="1" x14ac:dyDescent="0.3">
      <c r="B25" s="44" t="s">
        <v>94</v>
      </c>
      <c r="C25" s="6"/>
      <c r="D25" s="15"/>
      <c r="E25" s="13"/>
      <c r="F25" s="13"/>
    </row>
    <row r="26" spans="1:6" s="79" customFormat="1" x14ac:dyDescent="0.15">
      <c r="B26" s="1" t="s">
        <v>19</v>
      </c>
      <c r="C26" s="146" t="s">
        <v>95</v>
      </c>
      <c r="D26" s="147"/>
      <c r="E26" s="148"/>
      <c r="F26" s="3" t="s">
        <v>179</v>
      </c>
    </row>
    <row r="27" spans="1:6" s="79" customFormat="1" x14ac:dyDescent="0.15">
      <c r="B27" s="1" t="s">
        <v>2</v>
      </c>
      <c r="C27" s="126" t="s">
        <v>124</v>
      </c>
      <c r="D27" s="127"/>
      <c r="E27" s="128"/>
      <c r="F27" s="64">
        <v>8</v>
      </c>
    </row>
    <row r="28" spans="1:6" x14ac:dyDescent="0.3">
      <c r="A28" s="79"/>
      <c r="B28" s="2" t="s">
        <v>3</v>
      </c>
      <c r="C28" s="129" t="s">
        <v>125</v>
      </c>
      <c r="D28" s="130"/>
      <c r="E28" s="131"/>
      <c r="F28" s="65">
        <v>20</v>
      </c>
    </row>
    <row r="29" spans="1:6" x14ac:dyDescent="0.3">
      <c r="A29" s="79"/>
      <c r="B29" s="2" t="s">
        <v>4</v>
      </c>
      <c r="C29" s="126" t="s">
        <v>126</v>
      </c>
      <c r="D29" s="127"/>
      <c r="E29" s="128"/>
      <c r="F29" s="48">
        <v>1.42</v>
      </c>
    </row>
    <row r="30" spans="1:6" x14ac:dyDescent="0.3">
      <c r="A30" s="79"/>
      <c r="B30" s="2" t="s">
        <v>5</v>
      </c>
      <c r="C30" s="129" t="s">
        <v>168</v>
      </c>
      <c r="D30" s="130"/>
      <c r="E30" s="131"/>
      <c r="F30" s="30">
        <v>45.22</v>
      </c>
    </row>
    <row r="31" spans="1:6" s="79" customFormat="1" ht="15.95" customHeight="1" x14ac:dyDescent="0.3">
      <c r="A31" s="7"/>
      <c r="B31" s="2" t="s">
        <v>6</v>
      </c>
      <c r="C31" s="126" t="s">
        <v>128</v>
      </c>
      <c r="D31" s="127"/>
      <c r="E31" s="128"/>
      <c r="F31" s="48">
        <f>(154800/34808000)*100</f>
        <v>0.44</v>
      </c>
    </row>
    <row r="32" spans="1:6" ht="15.75" customHeight="1" x14ac:dyDescent="0.3">
      <c r="A32" s="79"/>
      <c r="B32" s="2" t="s">
        <v>7</v>
      </c>
      <c r="C32" s="129" t="s">
        <v>133</v>
      </c>
      <c r="D32" s="130"/>
      <c r="E32" s="131"/>
      <c r="F32" s="65">
        <v>15</v>
      </c>
    </row>
    <row r="33" spans="1:6" ht="15.75" customHeight="1" x14ac:dyDescent="0.3">
      <c r="A33" s="79"/>
      <c r="B33" s="2" t="s">
        <v>10</v>
      </c>
      <c r="C33" s="126" t="s">
        <v>129</v>
      </c>
      <c r="D33" s="127"/>
      <c r="E33" s="128"/>
      <c r="F33" s="64">
        <v>180</v>
      </c>
    </row>
    <row r="34" spans="1:6" x14ac:dyDescent="0.3">
      <c r="A34" s="79"/>
      <c r="B34" s="2" t="s">
        <v>11</v>
      </c>
      <c r="C34" s="129" t="s">
        <v>169</v>
      </c>
      <c r="D34" s="130"/>
      <c r="E34" s="131"/>
      <c r="F34" s="30">
        <v>54.78</v>
      </c>
    </row>
    <row r="35" spans="1:6" s="86" customFormat="1" ht="8.25" customHeight="1" x14ac:dyDescent="0.3"/>
    <row r="36" spans="1:6" x14ac:dyDescent="0.3">
      <c r="B36" s="44" t="s">
        <v>66</v>
      </c>
      <c r="C36" s="6"/>
      <c r="D36" s="15"/>
      <c r="E36" s="13"/>
      <c r="F36" s="13"/>
    </row>
    <row r="37" spans="1:6" x14ac:dyDescent="0.3">
      <c r="B37" s="1" t="s">
        <v>20</v>
      </c>
      <c r="C37" s="144" t="s">
        <v>67</v>
      </c>
      <c r="D37" s="144"/>
      <c r="E37" s="144"/>
      <c r="F37" s="3" t="s">
        <v>180</v>
      </c>
    </row>
    <row r="38" spans="1:6" x14ac:dyDescent="0.3">
      <c r="B38" s="1" t="s">
        <v>2</v>
      </c>
      <c r="C38" s="145" t="s">
        <v>118</v>
      </c>
      <c r="D38" s="145"/>
      <c r="E38" s="145"/>
      <c r="F38" s="62">
        <f>PERC_HORA_EXTRA</f>
        <v>0</v>
      </c>
    </row>
    <row r="39" spans="1:6" ht="15" customHeight="1" x14ac:dyDescent="0.3">
      <c r="B39" s="1" t="s">
        <v>3</v>
      </c>
      <c r="C39" s="129" t="s">
        <v>127</v>
      </c>
      <c r="D39" s="130"/>
      <c r="E39" s="131"/>
      <c r="F39" s="60">
        <f>TEMPO_INTERVALO_REFEICAO</f>
        <v>0</v>
      </c>
    </row>
    <row r="40" spans="1:6" s="86" customFormat="1" x14ac:dyDescent="0.3"/>
    <row r="41" spans="1:6" ht="20.25" x14ac:dyDescent="0.3">
      <c r="B41" s="27" t="s">
        <v>149</v>
      </c>
      <c r="C41" s="28"/>
      <c r="D41" s="28"/>
      <c r="E41" s="28"/>
      <c r="F41" s="29"/>
    </row>
    <row r="42" spans="1:6" ht="33.75" customHeight="1" x14ac:dyDescent="0.3">
      <c r="B42" s="125" t="s">
        <v>173</v>
      </c>
      <c r="C42" s="125"/>
      <c r="D42" s="125"/>
      <c r="E42" s="125"/>
      <c r="F42" s="125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22" style="12" customWidth="1"/>
    <col min="5" max="5" width="13.5703125" style="12" customWidth="1"/>
    <col min="6" max="6" width="43.85546875" style="7" customWidth="1"/>
    <col min="7" max="7" width="51.7109375" style="7" customWidth="1"/>
    <col min="8" max="16384" width="9.140625" style="7"/>
  </cols>
  <sheetData>
    <row r="1" spans="2:7" s="79" customFormat="1" ht="25.5" x14ac:dyDescent="0.5">
      <c r="B1" s="95" t="s">
        <v>159</v>
      </c>
      <c r="C1" s="7"/>
      <c r="D1" s="7"/>
      <c r="E1" s="7"/>
      <c r="F1" s="7"/>
      <c r="G1" s="7"/>
    </row>
    <row r="2" spans="2:7" x14ac:dyDescent="0.3">
      <c r="B2" s="44" t="s">
        <v>58</v>
      </c>
      <c r="E2" s="14"/>
    </row>
    <row r="3" spans="2:7" x14ac:dyDescent="0.3">
      <c r="B3" s="44" t="s">
        <v>102</v>
      </c>
      <c r="C3" s="6"/>
      <c r="D3" s="15"/>
      <c r="E3" s="13"/>
    </row>
    <row r="4" spans="2:7" x14ac:dyDescent="0.3">
      <c r="B4" s="1" t="s">
        <v>59</v>
      </c>
      <c r="C4" s="144" t="s">
        <v>85</v>
      </c>
      <c r="D4" s="144"/>
      <c r="E4" s="3" t="s">
        <v>1</v>
      </c>
      <c r="F4" s="3" t="s">
        <v>160</v>
      </c>
    </row>
    <row r="5" spans="2:7" x14ac:dyDescent="0.3">
      <c r="B5" s="1" t="s">
        <v>2</v>
      </c>
      <c r="C5" s="159" t="s">
        <v>43</v>
      </c>
      <c r="D5" s="159"/>
      <c r="E5" s="49">
        <f>(1/MESES_NO_ANO)*100</f>
        <v>8.33</v>
      </c>
      <c r="F5" s="49" t="s">
        <v>161</v>
      </c>
    </row>
    <row r="6" spans="2:7" x14ac:dyDescent="0.3">
      <c r="B6" s="2" t="s">
        <v>3</v>
      </c>
      <c r="C6" s="157" t="s">
        <v>87</v>
      </c>
      <c r="D6" s="157"/>
      <c r="E6" s="32">
        <f>(1/3)/MESES_NO_ANO*100</f>
        <v>2.78</v>
      </c>
      <c r="F6" s="32" t="s">
        <v>162</v>
      </c>
    </row>
    <row r="7" spans="2:7" s="86" customFormat="1" x14ac:dyDescent="0.3">
      <c r="B7" s="162" t="s">
        <v>60</v>
      </c>
      <c r="C7" s="162"/>
      <c r="D7" s="162"/>
      <c r="E7" s="162"/>
      <c r="F7" s="162"/>
    </row>
    <row r="8" spans="2:7" s="86" customFormat="1" ht="34.5" customHeight="1" x14ac:dyDescent="0.3">
      <c r="B8" s="1" t="s">
        <v>61</v>
      </c>
      <c r="C8" s="158" t="s">
        <v>88</v>
      </c>
      <c r="D8" s="158"/>
      <c r="E8" s="3" t="s">
        <v>1</v>
      </c>
    </row>
    <row r="9" spans="2:7" x14ac:dyDescent="0.3">
      <c r="B9" s="1" t="s">
        <v>2</v>
      </c>
      <c r="C9" s="159" t="s">
        <v>37</v>
      </c>
      <c r="D9" s="159"/>
      <c r="E9" s="49">
        <v>20</v>
      </c>
    </row>
    <row r="10" spans="2:7" s="79" customFormat="1" x14ac:dyDescent="0.15">
      <c r="B10" s="2" t="s">
        <v>3</v>
      </c>
      <c r="C10" s="157" t="s">
        <v>39</v>
      </c>
      <c r="D10" s="157"/>
      <c r="E10" s="39">
        <v>2.5</v>
      </c>
    </row>
    <row r="11" spans="2:7" s="79" customFormat="1" x14ac:dyDescent="0.15">
      <c r="B11" s="2" t="s">
        <v>4</v>
      </c>
      <c r="C11" s="159" t="s">
        <v>81</v>
      </c>
      <c r="D11" s="159"/>
      <c r="E11" s="49">
        <v>3</v>
      </c>
    </row>
    <row r="12" spans="2:7" s="79" customFormat="1" x14ac:dyDescent="0.15">
      <c r="B12" s="2" t="s">
        <v>5</v>
      </c>
      <c r="C12" s="157" t="s">
        <v>79</v>
      </c>
      <c r="D12" s="157"/>
      <c r="E12" s="32">
        <v>1.5</v>
      </c>
    </row>
    <row r="13" spans="2:7" s="79" customFormat="1" x14ac:dyDescent="0.15">
      <c r="B13" s="2" t="s">
        <v>6</v>
      </c>
      <c r="C13" s="159" t="s">
        <v>80</v>
      </c>
      <c r="D13" s="159"/>
      <c r="E13" s="49">
        <v>1</v>
      </c>
    </row>
    <row r="14" spans="2:7" s="79" customFormat="1" x14ac:dyDescent="0.15">
      <c r="B14" s="2" t="s">
        <v>7</v>
      </c>
      <c r="C14" s="157" t="s">
        <v>41</v>
      </c>
      <c r="D14" s="157"/>
      <c r="E14" s="39">
        <v>0.6</v>
      </c>
    </row>
    <row r="15" spans="2:7" s="79" customFormat="1" x14ac:dyDescent="0.15">
      <c r="B15" s="2" t="s">
        <v>10</v>
      </c>
      <c r="C15" s="159" t="s">
        <v>38</v>
      </c>
      <c r="D15" s="159"/>
      <c r="E15" s="49">
        <v>0.2</v>
      </c>
    </row>
    <row r="16" spans="2:7" x14ac:dyDescent="0.3">
      <c r="B16" s="2" t="s">
        <v>11</v>
      </c>
      <c r="C16" s="157" t="s">
        <v>40</v>
      </c>
      <c r="D16" s="157"/>
      <c r="E16" s="39">
        <v>8</v>
      </c>
    </row>
    <row r="17" spans="2:6" x14ac:dyDescent="0.3">
      <c r="B17" s="144" t="s">
        <v>42</v>
      </c>
      <c r="C17" s="144"/>
      <c r="D17" s="144"/>
      <c r="E17" s="33">
        <f>SUM(E9:E16)</f>
        <v>36.799999999999997</v>
      </c>
    </row>
    <row r="18" spans="2:6" s="86" customFormat="1" x14ac:dyDescent="0.3">
      <c r="B18" s="44" t="s">
        <v>64</v>
      </c>
      <c r="C18" s="6"/>
      <c r="D18" s="15"/>
      <c r="E18" s="13"/>
    </row>
    <row r="19" spans="2:6" s="86" customFormat="1" ht="15" customHeight="1" x14ac:dyDescent="0.3">
      <c r="B19" s="1">
        <v>3</v>
      </c>
      <c r="C19" s="144" t="s">
        <v>44</v>
      </c>
      <c r="D19" s="144"/>
      <c r="E19" s="3" t="s">
        <v>1</v>
      </c>
      <c r="F19" s="3" t="s">
        <v>160</v>
      </c>
    </row>
    <row r="20" spans="2:6" s="86" customFormat="1" x14ac:dyDescent="0.3">
      <c r="B20" s="1" t="s">
        <v>2</v>
      </c>
      <c r="C20" s="160" t="s">
        <v>45</v>
      </c>
      <c r="D20" s="160"/>
      <c r="E20" s="49">
        <f>PERC_EMPREG_DEMIT_SEM_JUSTA_CAUSA_TOTAL_DESLIG%*PERC_EMPREG_AVISO_PREVIO_IND%*1/MESES_NO_ANO*100</f>
        <v>0.28999999999999998</v>
      </c>
      <c r="F20" s="49" t="s">
        <v>163</v>
      </c>
    </row>
    <row r="21" spans="2:6" s="86" customFormat="1" x14ac:dyDescent="0.3">
      <c r="B21" s="2" t="s">
        <v>3</v>
      </c>
      <c r="C21" s="161" t="s">
        <v>46</v>
      </c>
      <c r="D21" s="161"/>
      <c r="E21" s="39">
        <f>PERC_EMPREG_DEMIT_SEM_JUSTA_CAUSA_TOTAL_DESLIG%*PERC_EMPREG_AVISO_PREVIO_TRAB%*(DIAS_NA_SEMANA/DIAS_NO_MES)/MESES_NO_ANO*100</f>
        <v>1.1599999999999999</v>
      </c>
      <c r="F21" s="32" t="s">
        <v>167</v>
      </c>
    </row>
    <row r="22" spans="2:6" s="79" customFormat="1" ht="16.5" customHeight="1" x14ac:dyDescent="0.15">
      <c r="B22" s="2" t="s">
        <v>4</v>
      </c>
      <c r="C22" s="160" t="s">
        <v>182</v>
      </c>
      <c r="D22" s="160"/>
      <c r="E22" s="49">
        <f>ROUNDUP(PERC_AVISO_PREVIO_TRAB%*(PERC_MULTA_FGTS%)*PERC_FGTS%*100,2)</f>
        <v>0.04</v>
      </c>
      <c r="F22" s="49" t="s">
        <v>181</v>
      </c>
    </row>
    <row r="23" spans="2:6" s="79" customFormat="1" ht="15.95" customHeight="1" x14ac:dyDescent="0.3">
      <c r="B23" s="44" t="s">
        <v>65</v>
      </c>
      <c r="C23" s="6"/>
      <c r="D23" s="15"/>
      <c r="E23" s="7"/>
    </row>
    <row r="24" spans="2:6" s="79" customFormat="1" ht="15.95" customHeight="1" x14ac:dyDescent="0.3">
      <c r="B24" s="44" t="s">
        <v>94</v>
      </c>
      <c r="C24" s="6"/>
      <c r="D24" s="15"/>
      <c r="E24" s="13"/>
    </row>
    <row r="25" spans="2:6" s="79" customFormat="1" x14ac:dyDescent="0.15">
      <c r="B25" s="1" t="s">
        <v>19</v>
      </c>
      <c r="C25" s="163" t="s">
        <v>95</v>
      </c>
      <c r="D25" s="163"/>
      <c r="E25" s="3" t="s">
        <v>1</v>
      </c>
      <c r="F25" s="3" t="s">
        <v>160</v>
      </c>
    </row>
    <row r="26" spans="2:6" s="79" customFormat="1" ht="15.95" customHeight="1" x14ac:dyDescent="0.15">
      <c r="B26" s="2" t="s">
        <v>2</v>
      </c>
      <c r="C26" s="159" t="s">
        <v>96</v>
      </c>
      <c r="D26" s="159"/>
      <c r="E26" s="49">
        <f>(1/MESES_NO_ANO)*100</f>
        <v>8.33</v>
      </c>
      <c r="F26" s="49" t="s">
        <v>164</v>
      </c>
    </row>
    <row r="27" spans="2:6" s="79" customFormat="1" ht="15.95" customHeight="1" x14ac:dyDescent="0.15">
      <c r="B27" s="2" t="s">
        <v>3</v>
      </c>
      <c r="C27" s="76" t="s">
        <v>97</v>
      </c>
      <c r="D27" s="76"/>
      <c r="E27" s="39">
        <f>(DIAS_AUSENCIAS_LEGAIS/DIAS_NO_MES)/MESES_NO_ANO*100</f>
        <v>2.2200000000000002</v>
      </c>
      <c r="F27" s="32" t="s">
        <v>165</v>
      </c>
    </row>
    <row r="28" spans="2:6" s="79" customFormat="1" ht="15.95" customHeight="1" x14ac:dyDescent="0.15">
      <c r="B28" s="2" t="s">
        <v>4</v>
      </c>
      <c r="C28" s="159" t="s">
        <v>98</v>
      </c>
      <c r="D28" s="159"/>
      <c r="E28" s="49">
        <f>(((DIAS_LICENCA_PATERNIDADE/DIAS_NO_MES)/MESES_NO_ANO)*PERC_NASCIDOS_VIVOS_POPUL_FEM%*PERC_PARTIC_MASC_VIGIL%)*100</f>
        <v>0.04</v>
      </c>
      <c r="F28" s="49" t="s">
        <v>170</v>
      </c>
    </row>
    <row r="29" spans="2:6" s="79" customFormat="1" x14ac:dyDescent="0.15">
      <c r="B29" s="2" t="s">
        <v>5</v>
      </c>
      <c r="C29" s="157" t="s">
        <v>99</v>
      </c>
      <c r="D29" s="157"/>
      <c r="E29" s="39">
        <f>(DIAS_PAGOS_EMPRESA_ACID_TRAB/DIAS_NO_MES)/MESES_NO_ANO*PERC_EMPREG_AFAST_TRAB%*100</f>
        <v>0.02</v>
      </c>
      <c r="F29" s="32" t="s">
        <v>166</v>
      </c>
    </row>
    <row r="30" spans="2:6" s="79" customFormat="1" ht="33" x14ac:dyDescent="0.15">
      <c r="B30" s="2" t="s">
        <v>6</v>
      </c>
      <c r="C30" s="159" t="s">
        <v>100</v>
      </c>
      <c r="D30" s="159"/>
      <c r="E30" s="49">
        <f>(((DIAS_LICENCA_MATERNIDADE/DIAS_NO_MES)/MESES_NO_ANO)*PERC_NASCIDOS_VIVOS_POPUL_FEM%*PERC_PARTIC_FEM_VIGIL%*PERC_GPS_FGTS%*100)</f>
        <v>0.14000000000000001</v>
      </c>
      <c r="F30" s="49" t="s">
        <v>171</v>
      </c>
    </row>
    <row r="31" spans="2:6" s="79" customFormat="1" x14ac:dyDescent="0.15">
      <c r="B31" s="2" t="s">
        <v>7</v>
      </c>
      <c r="C31" s="157" t="str">
        <f>OUTRAS_AUSENCIAS_DESCRICAO</f>
        <v>Outras Ausências (Especificar - em %)</v>
      </c>
      <c r="D31" s="157"/>
      <c r="E31" s="39">
        <f>PERC_SUBSTITUTO_OUTRAS_AUSENCIAS</f>
        <v>0</v>
      </c>
      <c r="F31" s="32"/>
    </row>
    <row r="33" spans="2:7" ht="20.25" x14ac:dyDescent="0.3">
      <c r="B33" s="27" t="s">
        <v>149</v>
      </c>
    </row>
    <row r="34" spans="2:7" ht="42.75" customHeight="1" x14ac:dyDescent="0.3">
      <c r="B34" s="125" t="s">
        <v>173</v>
      </c>
      <c r="C34" s="125"/>
      <c r="D34" s="125"/>
      <c r="E34" s="125"/>
      <c r="G34" s="96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5"/>
  <sheetViews>
    <sheetView zoomScaleNormal="100" zoomScaleSheetLayoutView="100" workbookViewId="0">
      <selection activeCell="B1" sqref="B1:F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7.8554687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82" t="str">
        <f>RAMO</f>
        <v>RAMO: CONSELHO NACIONAL DO MINISTÉRIO PÚBLICO</v>
      </c>
      <c r="C1" s="183"/>
      <c r="D1" s="183"/>
      <c r="E1" s="183"/>
      <c r="F1" s="184"/>
    </row>
    <row r="2" spans="2:6" ht="20.25" x14ac:dyDescent="0.35">
      <c r="B2" s="185" t="str">
        <f>UG</f>
        <v>UNIDADE GESTORA (SIGLA): CNMP</v>
      </c>
      <c r="C2" s="186"/>
      <c r="D2" s="187"/>
      <c r="E2" s="77" t="s">
        <v>50</v>
      </c>
      <c r="F2" s="78" t="str">
        <f>DATA_DO_ORCAMENTO_ESTIMATIVO</f>
        <v>XX/XX/20XX</v>
      </c>
    </row>
    <row r="3" spans="2:6" s="79" customFormat="1" ht="25.5" x14ac:dyDescent="0.5">
      <c r="B3" s="117" t="s">
        <v>155</v>
      </c>
      <c r="C3" s="117"/>
      <c r="D3" s="117"/>
      <c r="E3" s="117"/>
      <c r="F3" s="117"/>
    </row>
    <row r="4" spans="2:6" s="79" customFormat="1" ht="15.95" customHeight="1" x14ac:dyDescent="0.3">
      <c r="B4" s="106" t="s">
        <v>89</v>
      </c>
      <c r="C4" s="106"/>
      <c r="D4" s="106"/>
      <c r="E4" s="106"/>
      <c r="F4" s="106"/>
    </row>
    <row r="5" spans="2:6" s="79" customFormat="1" ht="15.95" customHeight="1" x14ac:dyDescent="0.3">
      <c r="B5" s="109" t="s">
        <v>174</v>
      </c>
      <c r="C5" s="109"/>
      <c r="D5" s="188" t="str">
        <f>NUMERO_PROCESSO</f>
        <v>19.00.6150.0006327/2022-96</v>
      </c>
      <c r="E5" s="188"/>
      <c r="F5" s="188"/>
    </row>
    <row r="6" spans="2:6" s="79" customFormat="1" ht="15.75" customHeight="1" x14ac:dyDescent="0.3">
      <c r="B6" s="107" t="s">
        <v>175</v>
      </c>
      <c r="C6" s="107"/>
      <c r="D6" s="180" t="str">
        <f>MODALIDADE_DE_LICITACAO</f>
        <v>Pregão nº</v>
      </c>
      <c r="E6" s="180"/>
      <c r="F6" s="102" t="str">
        <f>NUMERO_PREGAO</f>
        <v>XX/20XX</v>
      </c>
    </row>
    <row r="7" spans="2:6" s="79" customFormat="1" ht="15.75" customHeight="1" x14ac:dyDescent="0.3">
      <c r="B7" s="181" t="s">
        <v>51</v>
      </c>
      <c r="C7" s="181"/>
      <c r="D7" s="181"/>
      <c r="E7" s="181"/>
      <c r="F7" s="181"/>
    </row>
    <row r="8" spans="2:6" s="79" customFormat="1" ht="18" customHeight="1" x14ac:dyDescent="0.3">
      <c r="B8" s="18" t="s">
        <v>2</v>
      </c>
      <c r="C8" s="109" t="s">
        <v>56</v>
      </c>
      <c r="D8" s="109"/>
      <c r="E8" s="109"/>
      <c r="F8" s="80" t="str">
        <f>DATA_APRESENTACAO_PROPOSTA</f>
        <v>XX/XX/20XX</v>
      </c>
    </row>
    <row r="9" spans="2:6" s="79" customFormat="1" ht="15.95" customHeight="1" x14ac:dyDescent="0.15">
      <c r="B9" s="1" t="s">
        <v>3</v>
      </c>
      <c r="C9" s="57" t="s">
        <v>32</v>
      </c>
      <c r="D9" s="178" t="str">
        <f>IF(LOCAL_DE_EXECUCAO="","",LOCAL_DE_EXECUCAO)</f>
        <v/>
      </c>
      <c r="E9" s="178"/>
      <c r="F9" s="178"/>
    </row>
    <row r="10" spans="2:6" s="79" customFormat="1" ht="18.75" customHeight="1" x14ac:dyDescent="0.3">
      <c r="B10" s="18" t="s">
        <v>4</v>
      </c>
      <c r="C10" s="109" t="s">
        <v>33</v>
      </c>
      <c r="D10" s="109"/>
      <c r="E10" s="109"/>
      <c r="F10" s="81">
        <f>ACORDO_COLETIVO</f>
        <v>0</v>
      </c>
    </row>
    <row r="11" spans="2:6" s="79" customFormat="1" ht="15.95" customHeight="1" x14ac:dyDescent="0.3">
      <c r="B11" s="1" t="s">
        <v>5</v>
      </c>
      <c r="C11" s="178" t="s">
        <v>57</v>
      </c>
      <c r="D11" s="178"/>
      <c r="E11" s="178"/>
      <c r="F11" s="23">
        <f>NUMERO_MESES_EXEC_CONTRATUAL</f>
        <v>12</v>
      </c>
    </row>
    <row r="12" spans="2:6" s="79" customFormat="1" x14ac:dyDescent="0.3">
      <c r="B12" s="1" t="s">
        <v>6</v>
      </c>
      <c r="C12" s="179" t="s">
        <v>77</v>
      </c>
      <c r="D12" s="179"/>
      <c r="E12" s="179"/>
      <c r="F12" s="55">
        <f>IF(QTDE_POSTOS="","",QTDE_POSTOS)</f>
        <v>4</v>
      </c>
    </row>
    <row r="13" spans="2:6" s="84" customFormat="1" ht="15" customHeight="1" x14ac:dyDescent="0.2">
      <c r="B13" s="82" t="s">
        <v>150</v>
      </c>
      <c r="C13" s="83"/>
      <c r="D13" s="83"/>
      <c r="E13" s="83"/>
      <c r="F13" s="83"/>
    </row>
    <row r="14" spans="2:6" s="79" customFormat="1" x14ac:dyDescent="0.3">
      <c r="B14" s="18">
        <v>1</v>
      </c>
      <c r="C14" s="119" t="s">
        <v>53</v>
      </c>
      <c r="D14" s="119"/>
      <c r="E14" s="175" t="str">
        <f>IF(TIPO_DE_SERVICO="","",TIPO_DE_SERVICO)</f>
        <v>COPEIRO</v>
      </c>
      <c r="F14" s="175"/>
    </row>
    <row r="15" spans="2:6" s="79" customFormat="1" x14ac:dyDescent="0.3">
      <c r="B15" s="18">
        <v>2</v>
      </c>
      <c r="C15" s="20" t="s">
        <v>52</v>
      </c>
      <c r="D15" s="174" t="str">
        <f>IF(CBO="","",CBO)</f>
        <v>5134-25</v>
      </c>
      <c r="E15" s="174"/>
      <c r="F15" s="174"/>
    </row>
    <row r="16" spans="2:6" s="79" customFormat="1" ht="15" customHeight="1" x14ac:dyDescent="0.3">
      <c r="B16" s="18">
        <v>3</v>
      </c>
      <c r="C16" s="98" t="s">
        <v>54</v>
      </c>
      <c r="D16" s="175" t="str">
        <f>IF(CATEGORIA_PROFISSIONAL="","",CATEGORIA_PROFISSIONAL)</f>
        <v>Copeiro</v>
      </c>
      <c r="E16" s="175"/>
      <c r="F16" s="175"/>
    </row>
    <row r="17" spans="2:6" s="79" customFormat="1" ht="15" customHeight="1" x14ac:dyDescent="0.3">
      <c r="B17" s="18">
        <v>4</v>
      </c>
      <c r="C17" s="122" t="s">
        <v>55</v>
      </c>
      <c r="D17" s="122"/>
      <c r="E17" s="122"/>
      <c r="F17" s="99">
        <f>DATA_BASE_CATEGORIA</f>
        <v>44562</v>
      </c>
    </row>
    <row r="18" spans="2:6" s="85" customFormat="1" ht="20.25" customHeight="1" x14ac:dyDescent="0.3">
      <c r="B18" s="176" t="s">
        <v>36</v>
      </c>
      <c r="C18" s="176"/>
      <c r="D18" s="176"/>
      <c r="E18" s="176"/>
      <c r="F18" s="176"/>
    </row>
    <row r="19" spans="2:6" x14ac:dyDescent="0.3">
      <c r="B19" s="144" t="s">
        <v>48</v>
      </c>
      <c r="C19" s="144"/>
      <c r="D19" s="144"/>
      <c r="E19" s="144"/>
      <c r="F19" s="90">
        <f>IF(EMPREG_POR_POSTO="","",EMPREG_POR_POSTO)</f>
        <v>1</v>
      </c>
    </row>
    <row r="20" spans="2:6" x14ac:dyDescent="0.3">
      <c r="B20" s="44" t="s">
        <v>8</v>
      </c>
      <c r="E20" s="8"/>
      <c r="F20" s="8"/>
    </row>
    <row r="21" spans="2:6" x14ac:dyDescent="0.3">
      <c r="B21" s="1">
        <v>1</v>
      </c>
      <c r="C21" s="152" t="s">
        <v>9</v>
      </c>
      <c r="D21" s="152"/>
      <c r="E21" s="152"/>
      <c r="F21" s="3" t="s">
        <v>13</v>
      </c>
    </row>
    <row r="22" spans="2:6" x14ac:dyDescent="0.3">
      <c r="B22" s="1" t="s">
        <v>2</v>
      </c>
      <c r="C22" s="145" t="s">
        <v>84</v>
      </c>
      <c r="D22" s="145"/>
      <c r="E22" s="145"/>
      <c r="F22" s="47">
        <f>SALARIO_BASE</f>
        <v>1416.75</v>
      </c>
    </row>
    <row r="23" spans="2:6" x14ac:dyDescent="0.3">
      <c r="B23" s="1" t="s">
        <v>3</v>
      </c>
      <c r="C23" s="157" t="s">
        <v>86</v>
      </c>
      <c r="D23" s="157"/>
      <c r="E23" s="157"/>
      <c r="F23" s="4">
        <f>PERC_ADIC_PERIC%*SALARIO_BASE</f>
        <v>0</v>
      </c>
    </row>
    <row r="24" spans="2:6" ht="15.75" customHeight="1" x14ac:dyDescent="0.3">
      <c r="B24" s="1" t="s">
        <v>4</v>
      </c>
      <c r="C24" s="177" t="s">
        <v>75</v>
      </c>
      <c r="D24" s="177"/>
      <c r="E24" s="177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57" t="s">
        <v>78</v>
      </c>
      <c r="D25" s="157"/>
      <c r="E25" s="157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6" t="s">
        <v>152</v>
      </c>
      <c r="D26" s="127"/>
      <c r="E26" s="128"/>
      <c r="F26" s="47">
        <f>PERC_ADIC_INS%*SAL_MINIMO</f>
        <v>0</v>
      </c>
    </row>
    <row r="27" spans="2:6" x14ac:dyDescent="0.3">
      <c r="B27" s="1" t="s">
        <v>7</v>
      </c>
      <c r="C27" s="149" t="str">
        <f>OUTROS_REMUNERACAO_1_DESCRICAO</f>
        <v>Outras Remunerações 1 (Especificar)</v>
      </c>
      <c r="D27" s="150"/>
      <c r="E27" s="151"/>
      <c r="F27" s="4">
        <f>OUTROS_REMUNERACAO_1</f>
        <v>0</v>
      </c>
    </row>
    <row r="28" spans="2:6" x14ac:dyDescent="0.3">
      <c r="B28" s="1" t="s">
        <v>10</v>
      </c>
      <c r="C28" s="169" t="str">
        <f>OUTROS_REMUNERACAO_2_DESCRICAO</f>
        <v>Outras Remunerações 2 (Especificar)</v>
      </c>
      <c r="D28" s="170"/>
      <c r="E28" s="171"/>
      <c r="F28" s="47">
        <f>OUTROS_REMUNERACAO_2</f>
        <v>0</v>
      </c>
    </row>
    <row r="29" spans="2:6" x14ac:dyDescent="0.3">
      <c r="B29" s="1" t="s">
        <v>11</v>
      </c>
      <c r="C29" s="149" t="str">
        <f>OUTROS_REMUNERACAO_3_DESCRICAO</f>
        <v>Outras Remunerações 3 (Especificar)</v>
      </c>
      <c r="D29" s="150"/>
      <c r="E29" s="151"/>
      <c r="F29" s="4">
        <f>OUTROS_REMUNERACAO_3</f>
        <v>0</v>
      </c>
    </row>
    <row r="30" spans="2:6" x14ac:dyDescent="0.3">
      <c r="B30" s="172" t="s">
        <v>42</v>
      </c>
      <c r="C30" s="172"/>
      <c r="D30" s="172"/>
      <c r="E30" s="172"/>
      <c r="F30" s="34">
        <f>SUM(F22:F29)</f>
        <v>1416.75</v>
      </c>
    </row>
    <row r="31" spans="2:6" x14ac:dyDescent="0.3">
      <c r="B31" s="44" t="s">
        <v>58</v>
      </c>
      <c r="E31" s="14"/>
      <c r="F31" s="14"/>
    </row>
    <row r="32" spans="2:6" x14ac:dyDescent="0.3">
      <c r="B32" s="44" t="s">
        <v>102</v>
      </c>
      <c r="C32" s="6"/>
      <c r="D32" s="15"/>
      <c r="E32" s="13"/>
      <c r="F32" s="13"/>
    </row>
    <row r="33" spans="2:6" x14ac:dyDescent="0.3">
      <c r="B33" s="1" t="s">
        <v>59</v>
      </c>
      <c r="C33" s="144" t="s">
        <v>85</v>
      </c>
      <c r="D33" s="144"/>
      <c r="E33" s="3" t="s">
        <v>1</v>
      </c>
      <c r="F33" s="3" t="s">
        <v>13</v>
      </c>
    </row>
    <row r="34" spans="2:6" x14ac:dyDescent="0.3">
      <c r="B34" s="1" t="s">
        <v>2</v>
      </c>
      <c r="C34" s="159" t="s">
        <v>43</v>
      </c>
      <c r="D34" s="159"/>
      <c r="E34" s="49">
        <f>PERC_DEC_TERC</f>
        <v>8.33</v>
      </c>
      <c r="F34" s="48">
        <f>PERC_DEC_TERC%*MOD_1_REMUNERACAO</f>
        <v>118.02</v>
      </c>
    </row>
    <row r="35" spans="2:6" x14ac:dyDescent="0.3">
      <c r="B35" s="2" t="s">
        <v>3</v>
      </c>
      <c r="C35" s="157" t="s">
        <v>87</v>
      </c>
      <c r="D35" s="157"/>
      <c r="E35" s="32">
        <f>PERC_ADIC_FERIAS</f>
        <v>2.78</v>
      </c>
      <c r="F35" s="30">
        <f>PERC_ADIC_FERIAS%*MOD_1_REMUNERACAO</f>
        <v>39.39</v>
      </c>
    </row>
    <row r="36" spans="2:6" s="86" customFormat="1" x14ac:dyDescent="0.3">
      <c r="B36" s="135" t="s">
        <v>42</v>
      </c>
      <c r="C36" s="136"/>
      <c r="D36" s="136"/>
      <c r="E36" s="137"/>
      <c r="F36" s="35">
        <f>SUM(F34:F35)</f>
        <v>157.41</v>
      </c>
    </row>
    <row r="37" spans="2:6" s="86" customFormat="1" ht="31.5" customHeight="1" x14ac:dyDescent="0.3">
      <c r="B37" s="173" t="s">
        <v>60</v>
      </c>
      <c r="C37" s="173"/>
      <c r="D37" s="173"/>
      <c r="E37" s="173"/>
      <c r="F37" s="173"/>
    </row>
    <row r="38" spans="2:6" s="86" customFormat="1" ht="34.5" customHeight="1" x14ac:dyDescent="0.3">
      <c r="B38" s="1" t="s">
        <v>61</v>
      </c>
      <c r="C38" s="158" t="s">
        <v>88</v>
      </c>
      <c r="D38" s="158"/>
      <c r="E38" s="3" t="s">
        <v>1</v>
      </c>
      <c r="F38" s="3" t="s">
        <v>13</v>
      </c>
    </row>
    <row r="39" spans="2:6" x14ac:dyDescent="0.3">
      <c r="B39" s="1" t="s">
        <v>2</v>
      </c>
      <c r="C39" s="159" t="s">
        <v>37</v>
      </c>
      <c r="D39" s="159"/>
      <c r="E39" s="49">
        <f>PERC_INSS</f>
        <v>20</v>
      </c>
      <c r="F39" s="48">
        <f>PERC_INSS%*(MOD_1_REMUNERACAO+SUBMOD_2_1_DEC_TERC_ADIC_FERIAS)</f>
        <v>314.83</v>
      </c>
    </row>
    <row r="40" spans="2:6" s="79" customFormat="1" x14ac:dyDescent="0.15">
      <c r="B40" s="2" t="s">
        <v>3</v>
      </c>
      <c r="C40" s="157" t="s">
        <v>39</v>
      </c>
      <c r="D40" s="157"/>
      <c r="E40" s="39">
        <f>PERC_SAL_EDUCACAO</f>
        <v>2.5</v>
      </c>
      <c r="F40" s="30">
        <f>PERC_SAL_EDUCACAO%*(MOD_1_REMUNERACAO+SUBMOD_2_1_DEC_TERC_ADIC_FERIAS)</f>
        <v>39.35</v>
      </c>
    </row>
    <row r="41" spans="2:6" s="79" customFormat="1" x14ac:dyDescent="0.15">
      <c r="B41" s="2" t="s">
        <v>4</v>
      </c>
      <c r="C41" s="159" t="s">
        <v>81</v>
      </c>
      <c r="D41" s="159"/>
      <c r="E41" s="49">
        <f>PERC_RAT</f>
        <v>3</v>
      </c>
      <c r="F41" s="48">
        <f>PERC_RAT%*(MOD_1_REMUNERACAO+SUBMOD_2_1_DEC_TERC_ADIC_FERIAS)</f>
        <v>47.22</v>
      </c>
    </row>
    <row r="42" spans="2:6" s="79" customFormat="1" x14ac:dyDescent="0.15">
      <c r="B42" s="2" t="s">
        <v>5</v>
      </c>
      <c r="C42" s="157" t="s">
        <v>79</v>
      </c>
      <c r="D42" s="157"/>
      <c r="E42" s="32">
        <f>PERC_SESC</f>
        <v>1.5</v>
      </c>
      <c r="F42" s="30">
        <f>PERC_SESC%*(MOD_1_REMUNERACAO+SUBMOD_2_1_DEC_TERC_ADIC_FERIAS)</f>
        <v>23.61</v>
      </c>
    </row>
    <row r="43" spans="2:6" s="79" customFormat="1" x14ac:dyDescent="0.15">
      <c r="B43" s="2" t="s">
        <v>6</v>
      </c>
      <c r="C43" s="159" t="s">
        <v>80</v>
      </c>
      <c r="D43" s="159"/>
      <c r="E43" s="49">
        <f>PERC_SENAC</f>
        <v>1</v>
      </c>
      <c r="F43" s="48">
        <f>PERC_SENAC%*(MOD_1_REMUNERACAO+SUBMOD_2_1_DEC_TERC_ADIC_FERIAS)</f>
        <v>15.74</v>
      </c>
    </row>
    <row r="44" spans="2:6" s="79" customFormat="1" x14ac:dyDescent="0.15">
      <c r="B44" s="2" t="s">
        <v>7</v>
      </c>
      <c r="C44" s="157" t="s">
        <v>41</v>
      </c>
      <c r="D44" s="157"/>
      <c r="E44" s="39">
        <f>PERC_SEBRAE</f>
        <v>0.6</v>
      </c>
      <c r="F44" s="30">
        <f>PERC_SEBRAE%*(MOD_1_REMUNERACAO+SUBMOD_2_1_DEC_TERC_ADIC_FERIAS)</f>
        <v>9.44</v>
      </c>
    </row>
    <row r="45" spans="2:6" s="79" customFormat="1" x14ac:dyDescent="0.15">
      <c r="B45" s="2" t="s">
        <v>10</v>
      </c>
      <c r="C45" s="159" t="s">
        <v>38</v>
      </c>
      <c r="D45" s="159"/>
      <c r="E45" s="49">
        <f>PERC_INCRA</f>
        <v>0.2</v>
      </c>
      <c r="F45" s="48">
        <f>PERC_INCRA%*(MOD_1_REMUNERACAO+SUBMOD_2_1_DEC_TERC_ADIC_FERIAS)</f>
        <v>3.15</v>
      </c>
    </row>
    <row r="46" spans="2:6" x14ac:dyDescent="0.3">
      <c r="B46" s="2" t="s">
        <v>11</v>
      </c>
      <c r="C46" s="157" t="s">
        <v>40</v>
      </c>
      <c r="D46" s="157"/>
      <c r="E46" s="39">
        <f>PERC_FGTS</f>
        <v>8</v>
      </c>
      <c r="F46" s="30">
        <f>PERC_FGTS%*(MOD_1_REMUNERACAO+SUBMOD_2_1_DEC_TERC_ADIC_FERIAS)</f>
        <v>125.93</v>
      </c>
    </row>
    <row r="47" spans="2:6" x14ac:dyDescent="0.3">
      <c r="B47" s="135" t="s">
        <v>42</v>
      </c>
      <c r="C47" s="136"/>
      <c r="D47" s="136"/>
      <c r="E47" s="137"/>
      <c r="F47" s="36">
        <f>SUM(F39:F46)</f>
        <v>579.27</v>
      </c>
    </row>
    <row r="48" spans="2:6" ht="15.75" customHeight="1" x14ac:dyDescent="0.3">
      <c r="B48" s="44" t="s">
        <v>63</v>
      </c>
      <c r="C48" s="79"/>
      <c r="D48" s="79"/>
      <c r="E48" s="79"/>
      <c r="F48" s="79"/>
    </row>
    <row r="49" spans="2:6" ht="15.75" customHeight="1" x14ac:dyDescent="0.3">
      <c r="B49" s="1" t="s">
        <v>82</v>
      </c>
      <c r="C49" s="152" t="s">
        <v>14</v>
      </c>
      <c r="D49" s="152"/>
      <c r="E49" s="152"/>
      <c r="F49" s="3" t="s">
        <v>13</v>
      </c>
    </row>
    <row r="50" spans="2:6" x14ac:dyDescent="0.3">
      <c r="B50" s="18" t="s">
        <v>2</v>
      </c>
      <c r="C50" s="159" t="s">
        <v>15</v>
      </c>
      <c r="D50" s="159"/>
      <c r="E50" s="159"/>
      <c r="F50" s="48">
        <f>IF(((TRANSPORTE_POR_DIA*DIAS_TRABALHADOS_NO_MES)-(PERC_DESC_TRANSP_REMUNERACAO%*(AL_1_A_SAL_BASE/2)))&gt;0,((TRANSPORTE_POR_DIA*DIAS_TRABALHADOS_NO_MES)-(PERC_DESC_TRANSP_REMUNERACAO%*(AL_1_A_SAL_BASE/2))),0)</f>
        <v>199.5</v>
      </c>
    </row>
    <row r="51" spans="2:6" s="86" customFormat="1" x14ac:dyDescent="0.3">
      <c r="B51" s="18" t="s">
        <v>3</v>
      </c>
      <c r="C51" s="157" t="s">
        <v>62</v>
      </c>
      <c r="D51" s="157"/>
      <c r="E51" s="157"/>
      <c r="F51" s="30">
        <f>ALIMENTACAO_POR_DIA*DIAS_TRABALHADOS_NO_MES</f>
        <v>836</v>
      </c>
    </row>
    <row r="52" spans="2:6" s="86" customFormat="1" x14ac:dyDescent="0.3">
      <c r="B52" s="18" t="s">
        <v>4</v>
      </c>
      <c r="C52" s="169" t="str">
        <f>OUTROS_BENEFICIOS_1_DESCRICAO</f>
        <v>Outros Benefícios 1 (Especificar)</v>
      </c>
      <c r="D52" s="170"/>
      <c r="E52" s="171"/>
      <c r="F52" s="48">
        <f>OUTROS_BENEFICIOS_1</f>
        <v>0</v>
      </c>
    </row>
    <row r="53" spans="2:6" s="86" customFormat="1" x14ac:dyDescent="0.3">
      <c r="B53" s="18" t="s">
        <v>5</v>
      </c>
      <c r="C53" s="149" t="str">
        <f>OUTROS_BENEFICIOS_2_DESCRICAO</f>
        <v>Outros Benefícios 2 (Especificar)</v>
      </c>
      <c r="D53" s="150"/>
      <c r="E53" s="151"/>
      <c r="F53" s="30">
        <f>OUTROS_BENEFICIOS_2</f>
        <v>0</v>
      </c>
    </row>
    <row r="54" spans="2:6" s="86" customFormat="1" x14ac:dyDescent="0.3">
      <c r="B54" s="18" t="s">
        <v>6</v>
      </c>
      <c r="C54" s="169" t="str">
        <f>OUTROS_BENEFICIOS_3_DESCRICAO</f>
        <v>Outros Benefícios 3 (Especificar)</v>
      </c>
      <c r="D54" s="170"/>
      <c r="E54" s="171"/>
      <c r="F54" s="48">
        <f>OUTROS_BENEFICIOS_3</f>
        <v>0</v>
      </c>
    </row>
    <row r="55" spans="2:6" s="86" customFormat="1" ht="15" customHeight="1" x14ac:dyDescent="0.3">
      <c r="B55" s="172" t="s">
        <v>42</v>
      </c>
      <c r="C55" s="172"/>
      <c r="D55" s="172"/>
      <c r="E55" s="172"/>
      <c r="F55" s="34">
        <f>SUM(F50:F54)</f>
        <v>1035.5</v>
      </c>
    </row>
    <row r="56" spans="2:6" s="86" customFormat="1" x14ac:dyDescent="0.3">
      <c r="B56" s="44" t="s">
        <v>64</v>
      </c>
      <c r="C56" s="6"/>
      <c r="D56" s="15"/>
      <c r="E56" s="13"/>
      <c r="F56" s="13"/>
    </row>
    <row r="57" spans="2:6" s="86" customFormat="1" ht="15" customHeight="1" x14ac:dyDescent="0.3">
      <c r="B57" s="1">
        <v>3</v>
      </c>
      <c r="C57" s="144" t="s">
        <v>44</v>
      </c>
      <c r="D57" s="144"/>
      <c r="E57" s="3" t="s">
        <v>1</v>
      </c>
      <c r="F57" s="3" t="s">
        <v>13</v>
      </c>
    </row>
    <row r="58" spans="2:6" s="86" customFormat="1" x14ac:dyDescent="0.3">
      <c r="B58" s="1" t="s">
        <v>2</v>
      </c>
      <c r="C58" s="160" t="s">
        <v>45</v>
      </c>
      <c r="D58" s="160"/>
      <c r="E58" s="49">
        <f>PERC_AVISO_PREVIO_IND</f>
        <v>0.28999999999999998</v>
      </c>
      <c r="F58" s="48">
        <f>PERC_AVISO_PREVIO_IND%*(MOD_1_REMUNERACAO+SUBMOD_2_1_DEC_TERC_ADIC_FERIAS+AL_2_2_FGTS+SUBMOD_2_3_BENEFICIOS)</f>
        <v>7.93</v>
      </c>
    </row>
    <row r="59" spans="2:6" s="86" customFormat="1" x14ac:dyDescent="0.3">
      <c r="B59" s="2" t="s">
        <v>3</v>
      </c>
      <c r="C59" s="161" t="s">
        <v>46</v>
      </c>
      <c r="D59" s="161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36.99</v>
      </c>
    </row>
    <row r="60" spans="2:6" s="79" customFormat="1" x14ac:dyDescent="0.15">
      <c r="B60" s="2" t="s">
        <v>4</v>
      </c>
      <c r="C60" s="160" t="s">
        <v>182</v>
      </c>
      <c r="D60" s="160"/>
      <c r="E60" s="49">
        <f>PERC_MULTA_FGTS_AV_PREV_TRAB</f>
        <v>0.04</v>
      </c>
      <c r="F60" s="48">
        <f>PERC_MULTA_FGTS_AV_PREV_TRAB%*(MOD_1_REMUNERACAO+SUBMOD_2_1_DEC_TERC_ADIC_FERIAS)</f>
        <v>0.63</v>
      </c>
    </row>
    <row r="61" spans="2:6" s="79" customFormat="1" x14ac:dyDescent="0.3">
      <c r="B61" s="135" t="s">
        <v>42</v>
      </c>
      <c r="C61" s="136"/>
      <c r="D61" s="136"/>
      <c r="E61" s="137"/>
      <c r="F61" s="35">
        <f>SUM(F58:F60)</f>
        <v>45.55</v>
      </c>
    </row>
    <row r="62" spans="2:6" ht="7.5" customHeight="1" x14ac:dyDescent="0.3">
      <c r="B62" s="10"/>
      <c r="C62" s="7"/>
      <c r="D62" s="11"/>
      <c r="E62" s="8"/>
      <c r="F62" s="8"/>
    </row>
    <row r="63" spans="2:6" s="79" customFormat="1" ht="15.95" customHeight="1" x14ac:dyDescent="0.3">
      <c r="B63" s="44" t="s">
        <v>65</v>
      </c>
      <c r="C63" s="6"/>
      <c r="D63" s="15"/>
      <c r="E63" s="7"/>
      <c r="F63" s="7"/>
    </row>
    <row r="64" spans="2:6" s="79" customFormat="1" ht="15.95" customHeight="1" x14ac:dyDescent="0.3">
      <c r="B64" s="44" t="s">
        <v>94</v>
      </c>
      <c r="C64" s="6"/>
      <c r="D64" s="15"/>
      <c r="E64" s="13"/>
      <c r="F64" s="13"/>
    </row>
    <row r="65" spans="2:6" s="79" customFormat="1" x14ac:dyDescent="0.15">
      <c r="B65" s="1" t="s">
        <v>19</v>
      </c>
      <c r="C65" s="163" t="s">
        <v>95</v>
      </c>
      <c r="D65" s="163"/>
      <c r="E65" s="3" t="s">
        <v>1</v>
      </c>
      <c r="F65" s="3" t="s">
        <v>13</v>
      </c>
    </row>
    <row r="66" spans="2:6" s="79" customFormat="1" ht="15.95" customHeight="1" x14ac:dyDescent="0.15">
      <c r="B66" s="2" t="s">
        <v>2</v>
      </c>
      <c r="C66" s="159" t="s">
        <v>96</v>
      </c>
      <c r="D66" s="159"/>
      <c r="E66" s="49">
        <f>PERC_SUBSTITUTO_FERIAS</f>
        <v>8.33</v>
      </c>
      <c r="F66" s="48">
        <f>PERC_SUBSTITUTO_FERIAS%*(MOD_1_REMUNERACAO+MOD_2_ENCARGOS_BENEFICIOS+MOD_3_PROVISAO_RESCISAO)</f>
        <v>269.43</v>
      </c>
    </row>
    <row r="67" spans="2:6" s="79" customFormat="1" ht="15.95" customHeight="1" x14ac:dyDescent="0.15">
      <c r="B67" s="2" t="s">
        <v>3</v>
      </c>
      <c r="C67" s="157" t="s">
        <v>97</v>
      </c>
      <c r="D67" s="157"/>
      <c r="E67" s="39">
        <f>PERC_SUBSTITUTO_AUSENCIAS_LEGAIS</f>
        <v>2.2200000000000002</v>
      </c>
      <c r="F67" s="30">
        <f>PERC_SUBSTITUTO_AUSENCIAS_LEGAIS%*(MOD_1_REMUNERACAO+MOD_2_ENCARGOS_BENEFICIOS+MOD_3_PROVISAO_RESCISAO)</f>
        <v>71.81</v>
      </c>
    </row>
    <row r="68" spans="2:6" s="79" customFormat="1" ht="15.95" customHeight="1" x14ac:dyDescent="0.15">
      <c r="B68" s="2" t="s">
        <v>4</v>
      </c>
      <c r="C68" s="159" t="s">
        <v>98</v>
      </c>
      <c r="D68" s="159"/>
      <c r="E68" s="49">
        <f>PERC_SUBSTITUTO_LICENCA_PATERNIDADE</f>
        <v>0.04</v>
      </c>
      <c r="F68" s="48">
        <f>PERC_SUBSTITUTO_LICENCA_PATERNIDADE%*(MOD_1_REMUNERACAO+MOD_2_ENCARGOS_BENEFICIOS+MOD_3_PROVISAO_RESCISAO)</f>
        <v>1.29</v>
      </c>
    </row>
    <row r="69" spans="2:6" s="79" customFormat="1" x14ac:dyDescent="0.15">
      <c r="B69" s="2" t="s">
        <v>5</v>
      </c>
      <c r="C69" s="157" t="s">
        <v>99</v>
      </c>
      <c r="D69" s="157"/>
      <c r="E69" s="39">
        <f>PERC_SUBSTITUTO_ACID_TRAB</f>
        <v>0.02</v>
      </c>
      <c r="F69" s="30">
        <f>PERC_SUBSTITUTO_ACID_TRAB%*(MOD_1_REMUNERACAO+MOD_2_ENCARGOS_BENEFICIOS+MOD_3_PROVISAO_RESCISAO)</f>
        <v>0.65</v>
      </c>
    </row>
    <row r="70" spans="2:6" s="79" customFormat="1" x14ac:dyDescent="0.15">
      <c r="B70" s="2" t="s">
        <v>6</v>
      </c>
      <c r="C70" s="159" t="s">
        <v>100</v>
      </c>
      <c r="D70" s="159"/>
      <c r="E70" s="49">
        <f>PERC_SUBSTITUTO_AFAST_MATERN</f>
        <v>0.14000000000000001</v>
      </c>
      <c r="F70" s="48">
        <f>PERC_SUBSTITUTO_AFAST_MATERN%*(MOD_1_REMUNERACAO+MOD_2_ENCARGOS_BENEFICIOS+MOD_3_PROVISAO_RESCISAO)</f>
        <v>4.53</v>
      </c>
    </row>
    <row r="71" spans="2:6" s="79" customFormat="1" x14ac:dyDescent="0.15">
      <c r="B71" s="2" t="s">
        <v>7</v>
      </c>
      <c r="C71" s="167" t="str">
        <f>OUTRAS_AUSENCIAS_DESCRICAO</f>
        <v>Outras Ausências (Especificar - em %)</v>
      </c>
      <c r="D71" s="157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9" customFormat="1" x14ac:dyDescent="0.3">
      <c r="B72" s="135" t="s">
        <v>42</v>
      </c>
      <c r="C72" s="136"/>
      <c r="D72" s="136"/>
      <c r="E72" s="137"/>
      <c r="F72" s="35">
        <f>SUM(F66:F71)</f>
        <v>347.71</v>
      </c>
    </row>
    <row r="73" spans="2:6" s="79" customFormat="1" ht="15" customHeight="1" x14ac:dyDescent="0.3">
      <c r="B73" s="44" t="s">
        <v>177</v>
      </c>
      <c r="C73" s="6"/>
      <c r="D73" s="15"/>
      <c r="E73" s="13"/>
      <c r="F73" s="13"/>
    </row>
    <row r="74" spans="2:6" s="79" customFormat="1" x14ac:dyDescent="0.15">
      <c r="B74" s="1" t="s">
        <v>20</v>
      </c>
      <c r="C74" s="144" t="s">
        <v>176</v>
      </c>
      <c r="D74" s="144"/>
      <c r="E74" s="144"/>
      <c r="F74" s="3" t="s">
        <v>13</v>
      </c>
    </row>
    <row r="75" spans="2:6" s="79" customFormat="1" x14ac:dyDescent="0.15">
      <c r="B75" s="1" t="s">
        <v>2</v>
      </c>
      <c r="C75" s="159" t="s">
        <v>101</v>
      </c>
      <c r="D75" s="159"/>
      <c r="E75" s="159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9" customFormat="1" x14ac:dyDescent="0.3">
      <c r="B76" s="144" t="s">
        <v>42</v>
      </c>
      <c r="C76" s="144"/>
      <c r="D76" s="144"/>
      <c r="E76" s="144"/>
      <c r="F76" s="35">
        <f>SUM(F75)</f>
        <v>0</v>
      </c>
    </row>
    <row r="77" spans="2:6" ht="7.5" customHeight="1" x14ac:dyDescent="0.3">
      <c r="B77" s="10"/>
      <c r="C77" s="7"/>
      <c r="D77" s="11"/>
      <c r="E77" s="8"/>
      <c r="F77" s="8"/>
    </row>
    <row r="78" spans="2:6" x14ac:dyDescent="0.3">
      <c r="B78" s="44" t="s">
        <v>69</v>
      </c>
      <c r="C78" s="6"/>
      <c r="D78" s="6"/>
      <c r="E78" s="13"/>
      <c r="F78" s="13"/>
    </row>
    <row r="79" spans="2:6" ht="15.75" customHeight="1" x14ac:dyDescent="0.3">
      <c r="B79" s="42">
        <v>5</v>
      </c>
      <c r="C79" s="138" t="s">
        <v>0</v>
      </c>
      <c r="D79" s="138"/>
      <c r="E79" s="138"/>
      <c r="F79" s="43" t="s">
        <v>13</v>
      </c>
    </row>
    <row r="80" spans="2:6" x14ac:dyDescent="0.3">
      <c r="B80" s="38" t="s">
        <v>2</v>
      </c>
      <c r="C80" s="139" t="s">
        <v>16</v>
      </c>
      <c r="D80" s="139"/>
      <c r="E80" s="139"/>
      <c r="F80" s="50">
        <f>UNIFORMES</f>
        <v>141.59</v>
      </c>
    </row>
    <row r="81" spans="2:8" x14ac:dyDescent="0.3">
      <c r="B81" s="38" t="s">
        <v>3</v>
      </c>
      <c r="C81" s="140" t="s">
        <v>191</v>
      </c>
      <c r="D81" s="140"/>
      <c r="E81" s="140"/>
      <c r="F81" s="40">
        <f>MATERIAIS</f>
        <v>1842.02</v>
      </c>
    </row>
    <row r="82" spans="2:8" x14ac:dyDescent="0.3">
      <c r="B82" s="38" t="s">
        <v>4</v>
      </c>
      <c r="C82" s="139" t="s">
        <v>192</v>
      </c>
      <c r="D82" s="139"/>
      <c r="E82" s="139"/>
      <c r="F82" s="50">
        <f>EQUIPAMENTOS</f>
        <v>21.74</v>
      </c>
    </row>
    <row r="83" spans="2:8" x14ac:dyDescent="0.3">
      <c r="B83" s="38" t="s">
        <v>5</v>
      </c>
      <c r="C83" s="168" t="str">
        <f>OUTROS_INSUMOS_DESCRICAO</f>
        <v>Equipamentos</v>
      </c>
      <c r="D83" s="140"/>
      <c r="E83" s="140"/>
      <c r="F83" s="40">
        <f>OUTROS_INSUMOS</f>
        <v>27.94</v>
      </c>
      <c r="H83" s="189"/>
    </row>
    <row r="84" spans="2:8" x14ac:dyDescent="0.3">
      <c r="B84" s="166" t="s">
        <v>42</v>
      </c>
      <c r="C84" s="166"/>
      <c r="D84" s="166"/>
      <c r="E84" s="166"/>
      <c r="F84" s="37">
        <f>SUM(F80:F83)</f>
        <v>2033.29</v>
      </c>
    </row>
    <row r="85" spans="2:8" ht="7.5" customHeight="1" x14ac:dyDescent="0.3">
      <c r="B85" s="10"/>
      <c r="C85" s="7"/>
      <c r="D85" s="11"/>
      <c r="E85" s="8"/>
      <c r="F85" s="8"/>
    </row>
    <row r="86" spans="2:8" ht="15" customHeight="1" x14ac:dyDescent="0.3">
      <c r="B86" s="132" t="s">
        <v>68</v>
      </c>
      <c r="C86" s="132"/>
      <c r="D86" s="132"/>
      <c r="E86" s="132"/>
      <c r="F86" s="132"/>
    </row>
    <row r="87" spans="2:8" x14ac:dyDescent="0.3">
      <c r="B87" s="1">
        <v>6</v>
      </c>
      <c r="C87" s="144" t="s">
        <v>21</v>
      </c>
      <c r="D87" s="144"/>
      <c r="E87" s="3" t="s">
        <v>1</v>
      </c>
      <c r="F87" s="3" t="s">
        <v>13</v>
      </c>
    </row>
    <row r="88" spans="2:8" x14ac:dyDescent="0.3">
      <c r="B88" s="1" t="s">
        <v>2</v>
      </c>
      <c r="C88" s="159" t="s">
        <v>70</v>
      </c>
      <c r="D88" s="159"/>
      <c r="E88" s="51">
        <f>PERC_CUSTOS_INDIRETOS</f>
        <v>4.7300000000000004</v>
      </c>
      <c r="F88" s="48">
        <f>PERC_CUSTOS_INDIRETOS%*(MOD_1_REMUNERACAO+MOD_2_ENCARGOS_BENEFICIOS+MOD_3_PROVISAO_RESCISAO+MOD_4_CUSTO_REPOSICAO+MOD_5_INSUMOS)</f>
        <v>265.61</v>
      </c>
    </row>
    <row r="89" spans="2:8" ht="15.75" customHeight="1" x14ac:dyDescent="0.3">
      <c r="B89" s="2" t="s">
        <v>3</v>
      </c>
      <c r="C89" s="157" t="s">
        <v>28</v>
      </c>
      <c r="D89" s="157"/>
      <c r="E89" s="41">
        <f>PERC_LUCRO</f>
        <v>5.57</v>
      </c>
      <c r="F89" s="30">
        <f>PERC_LUCRO%*(MOD_1_REMUNERACAO+MOD_2_ENCARGOS_BENEFICIOS+MOD_3_PROVISAO_RESCISAO+MOD_4_CUSTO_REPOSICAO+MOD_5_INSUMOS+AL_6_A_CUSTOS_INDIRETOS)</f>
        <v>327.58</v>
      </c>
    </row>
    <row r="90" spans="2:8" x14ac:dyDescent="0.3">
      <c r="B90" s="2" t="s">
        <v>4</v>
      </c>
      <c r="C90" s="159" t="s">
        <v>22</v>
      </c>
      <c r="D90" s="159"/>
      <c r="E90" s="51">
        <f>SUM(E91:E93)</f>
        <v>8.65</v>
      </c>
      <c r="F90" s="48">
        <f>SUM(F91:F93)</f>
        <v>587.91</v>
      </c>
    </row>
    <row r="91" spans="2:8" ht="15.75" customHeight="1" x14ac:dyDescent="0.3">
      <c r="B91" s="24" t="s">
        <v>71</v>
      </c>
      <c r="C91" s="164" t="s">
        <v>23</v>
      </c>
      <c r="D91" s="164"/>
      <c r="E91" s="25">
        <f>PERC_PIS</f>
        <v>0.65</v>
      </c>
      <c r="F91" s="53">
        <f>((MOD_1_REMUNERACAO+MOD_2_ENCARGOS_BENEFICIOS+MOD_3_PROVISAO_RESCISAO+MOD_4_CUSTO_REPOSICAO+MOD_5_INSUMOS+AL_6_A_CUSTOS_INDIRETOS+AL_6_B_LUCRO)*PERC_PIS%)/(1-PERC_TRIBUTOS%)</f>
        <v>44.18</v>
      </c>
    </row>
    <row r="92" spans="2:8" x14ac:dyDescent="0.3">
      <c r="B92" s="24" t="s">
        <v>72</v>
      </c>
      <c r="C92" s="165" t="s">
        <v>24</v>
      </c>
      <c r="D92" s="165"/>
      <c r="E92" s="52">
        <f>PERC_COFINS</f>
        <v>3</v>
      </c>
      <c r="F92" s="54">
        <f>((MOD_1_REMUNERACAO+MOD_2_ENCARGOS_BENEFICIOS+MOD_3_PROVISAO_RESCISAO+MOD_4_CUSTO_REPOSICAO+MOD_5_INSUMOS+AL_6_A_CUSTOS_INDIRETOS+AL_6_B_LUCRO)*PERC_COFINS%)/(1-PERC_TRIBUTOS%)</f>
        <v>203.9</v>
      </c>
    </row>
    <row r="93" spans="2:8" s="87" customFormat="1" x14ac:dyDescent="0.3">
      <c r="B93" s="24" t="s">
        <v>73</v>
      </c>
      <c r="C93" s="164" t="s">
        <v>25</v>
      </c>
      <c r="D93" s="164"/>
      <c r="E93" s="25">
        <f>PERC_ISS</f>
        <v>5</v>
      </c>
      <c r="F93" s="53">
        <f>((MOD_1_REMUNERACAO+MOD_2_ENCARGOS_BENEFICIOS+MOD_3_PROVISAO_RESCISAO+MOD_4_CUSTO_REPOSICAO+MOD_5_INSUMOS+AL_6_A_CUSTOS_INDIRETOS+AL_6_B_LUCRO)*PERC_ISS%)/(1-PERC_TRIBUTOS%)</f>
        <v>339.83</v>
      </c>
    </row>
    <row r="94" spans="2:8" s="87" customFormat="1" x14ac:dyDescent="0.3">
      <c r="B94" s="135" t="s">
        <v>42</v>
      </c>
      <c r="C94" s="136"/>
      <c r="D94" s="136"/>
      <c r="E94" s="137"/>
      <c r="F94" s="31">
        <f>AL_6_A_CUSTOS_INDIRETOS+AL_6_B_LUCRO+AL_6_C_TRIBUTOS</f>
        <v>1181.0999999999999</v>
      </c>
    </row>
    <row r="95" spans="2:8" s="87" customFormat="1" ht="20.25" x14ac:dyDescent="0.3">
      <c r="B95" s="45" t="s">
        <v>49</v>
      </c>
      <c r="C95" s="9"/>
      <c r="D95" s="9"/>
      <c r="E95" s="9"/>
      <c r="F95" s="16"/>
    </row>
    <row r="96" spans="2:8" s="88" customFormat="1" ht="16.5" customHeight="1" x14ac:dyDescent="0.3">
      <c r="B96" s="2" t="s">
        <v>90</v>
      </c>
      <c r="C96" s="146" t="s">
        <v>91</v>
      </c>
      <c r="D96" s="147"/>
      <c r="E96" s="148"/>
      <c r="F96" s="3" t="s">
        <v>18</v>
      </c>
    </row>
    <row r="97" spans="2:6" s="87" customFormat="1" x14ac:dyDescent="0.3">
      <c r="B97" s="1">
        <v>1</v>
      </c>
      <c r="C97" s="159" t="s">
        <v>9</v>
      </c>
      <c r="D97" s="159"/>
      <c r="E97" s="159"/>
      <c r="F97" s="48">
        <f>MOD_1_REMUNERACAO</f>
        <v>1416.75</v>
      </c>
    </row>
    <row r="98" spans="2:6" s="89" customFormat="1" ht="16.5" customHeight="1" x14ac:dyDescent="0.3">
      <c r="B98" s="2">
        <v>2</v>
      </c>
      <c r="C98" s="157" t="s">
        <v>92</v>
      </c>
      <c r="D98" s="157"/>
      <c r="E98" s="157"/>
      <c r="F98" s="30">
        <f>MOD_2_ENCARGOS_BENEFICIOS</f>
        <v>1772.18</v>
      </c>
    </row>
    <row r="99" spans="2:6" s="89" customFormat="1" x14ac:dyDescent="0.3">
      <c r="B99" s="2">
        <v>3</v>
      </c>
      <c r="C99" s="159" t="s">
        <v>44</v>
      </c>
      <c r="D99" s="159"/>
      <c r="E99" s="159"/>
      <c r="F99" s="48">
        <f>MOD_3_PROVISAO_RESCISAO</f>
        <v>45.55</v>
      </c>
    </row>
    <row r="100" spans="2:6" s="89" customFormat="1" x14ac:dyDescent="0.3">
      <c r="B100" s="2">
        <v>4</v>
      </c>
      <c r="C100" s="157" t="s">
        <v>47</v>
      </c>
      <c r="D100" s="157"/>
      <c r="E100" s="157"/>
      <c r="F100" s="30">
        <f>MOD_4_CUSTO_REPOSICAO</f>
        <v>347.71</v>
      </c>
    </row>
    <row r="101" spans="2:6" s="89" customFormat="1" x14ac:dyDescent="0.3">
      <c r="B101" s="2">
        <v>5</v>
      </c>
      <c r="C101" s="159" t="s">
        <v>0</v>
      </c>
      <c r="D101" s="159"/>
      <c r="E101" s="159"/>
      <c r="F101" s="48">
        <f>MOD_5_INSUMOS</f>
        <v>2033.29</v>
      </c>
    </row>
    <row r="102" spans="2:6" s="89" customFormat="1" x14ac:dyDescent="0.3">
      <c r="B102" s="2">
        <v>6</v>
      </c>
      <c r="C102" s="157" t="s">
        <v>21</v>
      </c>
      <c r="D102" s="157"/>
      <c r="E102" s="157"/>
      <c r="F102" s="30">
        <f>MOD_6_CUSTOS_IND_LUCRO_TRIB</f>
        <v>1181.0999999999999</v>
      </c>
    </row>
    <row r="103" spans="2:6" ht="16.5" customHeight="1" x14ac:dyDescent="0.3">
      <c r="B103" s="163" t="s">
        <v>93</v>
      </c>
      <c r="C103" s="163"/>
      <c r="D103" s="163"/>
      <c r="E103" s="163"/>
      <c r="F103" s="31">
        <f>SUM(F97:F102)</f>
        <v>6796.58</v>
      </c>
    </row>
    <row r="104" spans="2:6" ht="16.5" customHeight="1" x14ac:dyDescent="0.3">
      <c r="B104" s="163" t="s">
        <v>27</v>
      </c>
      <c r="C104" s="163"/>
      <c r="D104" s="163"/>
      <c r="E104" s="163"/>
      <c r="F104" s="31">
        <f>VALOR_TOTAL_EMPREGADO*EMPREG_POR_POSTO</f>
        <v>6796.58</v>
      </c>
    </row>
    <row r="105" spans="2:6" x14ac:dyDescent="0.3">
      <c r="B105" s="163" t="s">
        <v>154</v>
      </c>
      <c r="C105" s="163"/>
      <c r="D105" s="163"/>
      <c r="E105" s="163"/>
      <c r="F105" s="31">
        <f>VALOR_TOTAL_EMPREGADO*EMPREG_POR_POSTO*QTDE_POSTOS</f>
        <v>27186.32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105:E105"/>
    <mergeCell ref="C99:E99"/>
    <mergeCell ref="C100:E100"/>
    <mergeCell ref="C101:E101"/>
    <mergeCell ref="C102:E102"/>
    <mergeCell ref="B103:E103"/>
    <mergeCell ref="B104:E104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Administrador</cp:lastModifiedBy>
  <cp:lastPrinted>2019-08-28T14:06:04Z</cp:lastPrinted>
  <dcterms:created xsi:type="dcterms:W3CDTF">2014-02-07T18:14:59Z</dcterms:created>
  <dcterms:modified xsi:type="dcterms:W3CDTF">2022-09-29T18:22:24Z</dcterms:modified>
</cp:coreProperties>
</file>