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cnmpmpbr-my.sharepoint.com/personal/marciel_cnmp_mp_br/Documents/Área de Trabalho/"/>
    </mc:Choice>
  </mc:AlternateContent>
  <xr:revisionPtr revIDLastSave="0" documentId="8_{A61017B3-5B7B-4BF8-A818-01142E1858CC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QUADRO RESUMO" sheetId="1" r:id="rId1"/>
    <sheet name="DADOS-ESTATISTICOS" sheetId="3" r:id="rId2"/>
    <sheet name="ENCARGOS-SOCIAIS-E-TRABALHISTAS" sheetId="4" r:id="rId3"/>
    <sheet name="INSERÇÃO-DE-DADOS" sheetId="6" r:id="rId4"/>
    <sheet name="GERENTE" sheetId="5" r:id="rId5"/>
    <sheet name="TEC SUPORTE SENIOR" sheetId="7" r:id="rId6"/>
    <sheet name="TEC MANUT SENIOR" sheetId="8" r:id="rId7"/>
    <sheet name="ANALISTA SUP SENIOR" sheetId="9" r:id="rId8"/>
    <sheet name="TEC SUPORTE JUNIOR" sheetId="10" r:id="rId9"/>
  </sheets>
  <externalReferences>
    <externalReference r:id="rId10"/>
  </externalReferences>
  <definedNames>
    <definedName name="ACORDO_COLETIVO">'INSERÇÃO-DE-DADOS'!$F$14</definedName>
    <definedName name="ADESAO_AO_PAT">'INSERÇÃO-DE-DADOS'!$E$61</definedName>
    <definedName name="AL_1_A_SAL_BASE_44H" localSheetId="7">'ANALISTA SUP SENIOR'!$F$22</definedName>
    <definedName name="AL_1_A_SAL_BASE_44H" localSheetId="4">GERENTE!$F$22</definedName>
    <definedName name="AL_1_A_SAL_BASE_44H" localSheetId="6">'TEC MANUT SENIOR'!$F$22</definedName>
    <definedName name="AL_1_A_SAL_BASE_44H" localSheetId="8">'TEC SUPORTE JUNIOR'!$F$22</definedName>
    <definedName name="AL_1_A_SAL_BASE_44H" localSheetId="5">'TEC SUPORTE SENIOR'!$F$22</definedName>
    <definedName name="AL_1_B_ADIC_PERIC_44H" localSheetId="7">'ANALISTA SUP SENIOR'!$F$23</definedName>
    <definedName name="AL_1_B_ADIC_PERIC_44H" localSheetId="4">GERENTE!$F$23</definedName>
    <definedName name="AL_1_B_ADIC_PERIC_44H" localSheetId="6">'TEC MANUT SENIOR'!$F$23</definedName>
    <definedName name="AL_1_B_ADIC_PERIC_44H" localSheetId="8">'TEC SUPORTE JUNIOR'!$F$23</definedName>
    <definedName name="AL_1_B_ADIC_PERIC_44H" localSheetId="5">'TEC SUPORTE SENIOR'!$F$23</definedName>
    <definedName name="AL_2_1_A_DEC_TERC_44H" localSheetId="7">'ANALISTA SUP SENIOR'!$F$32</definedName>
    <definedName name="AL_2_1_A_DEC_TERC_44H" localSheetId="4">GERENTE!$F$32</definedName>
    <definedName name="AL_2_1_A_DEC_TERC_44H" localSheetId="6">'TEC MANUT SENIOR'!$F$32</definedName>
    <definedName name="AL_2_1_A_DEC_TERC_44H" localSheetId="8">'TEC SUPORTE JUNIOR'!$F$32</definedName>
    <definedName name="AL_2_1_A_DEC_TERC_44H" localSheetId="5">'TEC SUPORTE SENIOR'!$F$32</definedName>
    <definedName name="AL_2_1_B_ADIC_FERIAS_44H" localSheetId="7">'ANALISTA SUP SENIOR'!$F$33</definedName>
    <definedName name="AL_2_1_B_ADIC_FERIAS_44H" localSheetId="4">GERENTE!$F$33</definedName>
    <definedName name="AL_2_1_B_ADIC_FERIAS_44H" localSheetId="6">'TEC MANUT SENIOR'!$F$33</definedName>
    <definedName name="AL_2_1_B_ADIC_FERIAS_44H" localSheetId="8">'TEC SUPORTE JUNIOR'!$F$33</definedName>
    <definedName name="AL_2_1_B_ADIC_FERIAS_44H" localSheetId="5">'TEC SUPORTE SENIOR'!$F$33</definedName>
    <definedName name="AL_2_2_FGTS_44H" localSheetId="7">'ANALISTA SUP SENIOR'!$F$44</definedName>
    <definedName name="AL_2_2_FGTS_44H" localSheetId="4">GERENTE!$F$44</definedName>
    <definedName name="AL_2_2_FGTS_44H" localSheetId="6">'TEC MANUT SENIOR'!$F$44</definedName>
    <definedName name="AL_2_2_FGTS_44H" localSheetId="8">'TEC SUPORTE JUNIOR'!$F$44</definedName>
    <definedName name="AL_2_2_FGTS_44H" localSheetId="5">'TEC SUPORTE SENIOR'!$F$44</definedName>
    <definedName name="AL_2_3_A_TRANSP_44H" localSheetId="7">'ANALISTA SUP SENIOR'!$F$48</definedName>
    <definedName name="AL_2_3_A_TRANSP_44H" localSheetId="4">GERENTE!$F$48</definedName>
    <definedName name="AL_2_3_A_TRANSP_44H" localSheetId="6">'TEC MANUT SENIOR'!$F$48</definedName>
    <definedName name="AL_2_3_A_TRANSP_44H" localSheetId="8">'TEC SUPORTE JUNIOR'!$F$48</definedName>
    <definedName name="AL_2_3_A_TRANSP_44H" localSheetId="5">'TEC SUPORTE SENIOR'!$F$48</definedName>
    <definedName name="AL_2_3_B_AUX_ALIMENT_44H" localSheetId="7">'ANALISTA SUP SENIOR'!$F$49</definedName>
    <definedName name="AL_2_3_B_AUX_ALIMENT_44H" localSheetId="4">GERENTE!$F$49</definedName>
    <definedName name="AL_2_3_B_AUX_ALIMENT_44H" localSheetId="6">'TEC MANUT SENIOR'!$F$49</definedName>
    <definedName name="AL_2_3_B_AUX_ALIMENT_44H" localSheetId="8">'TEC SUPORTE JUNIOR'!$F$49</definedName>
    <definedName name="AL_2_3_B_AUX_ALIMENT_44H" localSheetId="5">'TEC SUPORTE SENIOR'!$F$49</definedName>
    <definedName name="AL_2_3_C_OUTROS_BENEF_44H" localSheetId="7">'ANALISTA SUP SENIOR'!$F$50</definedName>
    <definedName name="AL_2_3_C_OUTROS_BENEF_44H" localSheetId="4">GERENTE!$F$50</definedName>
    <definedName name="AL_2_3_C_OUTROS_BENEF_44H" localSheetId="6">'TEC MANUT SENIOR'!$F$50</definedName>
    <definedName name="AL_2_3_C_OUTROS_BENEF_44H" localSheetId="8">'TEC SUPORTE JUNIOR'!$F$50</definedName>
    <definedName name="AL_2_3_C_OUTROS_BENEF_44H" localSheetId="5">'TEC SUPORTE SENIOR'!$F$50</definedName>
    <definedName name="AL_2_A_ATE_2_G_GPS_44H" localSheetId="7">'ANALISTA SUP SENIOR'!$F$37:$F$43</definedName>
    <definedName name="AL_2_A_ATE_2_G_GPS_44H" localSheetId="4">GERENTE!$F$37:$F$43</definedName>
    <definedName name="AL_2_A_ATE_2_G_GPS_44H" localSheetId="6">'TEC MANUT SENIOR'!$F$37:$F$43</definedName>
    <definedName name="AL_2_A_ATE_2_G_GPS_44H" localSheetId="8">'TEC SUPORTE JUNIOR'!$F$37:$F$43</definedName>
    <definedName name="AL_2_A_ATE_2_G_GPS_44H" localSheetId="5">'TEC SUPORTE SENIOR'!$F$37:$F$43</definedName>
    <definedName name="AL_6_A_CUSTOS_INDIRETOS_44H" localSheetId="7">'ANALISTA SUP SENIOR'!$F$85</definedName>
    <definedName name="AL_6_A_CUSTOS_INDIRETOS_44H" localSheetId="4">GERENTE!$F$85</definedName>
    <definedName name="AL_6_A_CUSTOS_INDIRETOS_44H" localSheetId="6">'TEC MANUT SENIOR'!$F$85</definedName>
    <definedName name="AL_6_A_CUSTOS_INDIRETOS_44H" localSheetId="8">'TEC SUPORTE JUNIOR'!$F$85</definedName>
    <definedName name="AL_6_A_CUSTOS_INDIRETOS_44H" localSheetId="5">'TEC SUPORTE SENIOR'!$F$85</definedName>
    <definedName name="AL_6_A_CUSTOS_INDIRETOS_44H">GERENTE!$F$85</definedName>
    <definedName name="AL_6_B_LUCRO_44H" localSheetId="7">'ANALISTA SUP SENIOR'!$F$86</definedName>
    <definedName name="AL_6_B_LUCRO_44H" localSheetId="4">GERENTE!$F$86</definedName>
    <definedName name="AL_6_B_LUCRO_44H" localSheetId="6">'TEC MANUT SENIOR'!$F$86</definedName>
    <definedName name="AL_6_B_LUCRO_44H" localSheetId="8">'TEC SUPORTE JUNIOR'!$F$86</definedName>
    <definedName name="AL_6_B_LUCRO_44H" localSheetId="5">'TEC SUPORTE SENIOR'!$F$86</definedName>
    <definedName name="AL_6_C_1_PIS_44H" localSheetId="7">'ANALISTA SUP SENIOR'!$F$88</definedName>
    <definedName name="AL_6_C_1_PIS_44H" localSheetId="4">GERENTE!$F$88</definedName>
    <definedName name="AL_6_C_1_PIS_44H" localSheetId="6">'TEC MANUT SENIOR'!$F$88</definedName>
    <definedName name="AL_6_C_1_PIS_44H" localSheetId="8">'TEC SUPORTE JUNIOR'!$F$88</definedName>
    <definedName name="AL_6_C_1_PIS_44H" localSheetId="5">'TEC SUPORTE SENIOR'!$F$88</definedName>
    <definedName name="AL_6_C_2_COFINS_44H" localSheetId="7">'ANALISTA SUP SENIOR'!$F$89</definedName>
    <definedName name="AL_6_C_2_COFINS_44H" localSheetId="4">GERENTE!$F$89</definedName>
    <definedName name="AL_6_C_2_COFINS_44H" localSheetId="6">'TEC MANUT SENIOR'!$F$89</definedName>
    <definedName name="AL_6_C_2_COFINS_44H" localSheetId="8">'TEC SUPORTE JUNIOR'!$F$89</definedName>
    <definedName name="AL_6_C_2_COFINS_44H" localSheetId="5">'TEC SUPORTE SENIOR'!$F$89</definedName>
    <definedName name="AL_6_C_3_ISS_44H" localSheetId="7">'ANALISTA SUP SENIOR'!$F$90</definedName>
    <definedName name="AL_6_C_3_ISS_44H" localSheetId="4">GERENTE!$F$90</definedName>
    <definedName name="AL_6_C_3_ISS_44H" localSheetId="6">'TEC MANUT SENIOR'!$F$90</definedName>
    <definedName name="AL_6_C_3_ISS_44H" localSheetId="8">'TEC SUPORTE JUNIOR'!$F$90</definedName>
    <definedName name="AL_6_C_3_ISS_44H" localSheetId="5">'TEC SUPORTE SENIOR'!$F$90</definedName>
    <definedName name="AL_6_C_TRIBUTOS_44H" localSheetId="7">'ANALISTA SUP SENIOR'!$F$87</definedName>
    <definedName name="AL_6_C_TRIBUTOS_44H" localSheetId="4">GERENTE!$F$87</definedName>
    <definedName name="AL_6_C_TRIBUTOS_44H" localSheetId="6">'TEC MANUT SENIOR'!$F$87</definedName>
    <definedName name="AL_6_C_TRIBUTOS_44H" localSheetId="8">'TEC SUPORTE JUNIOR'!$F$87</definedName>
    <definedName name="AL_6_C_TRIBUTOS_44H" localSheetId="5">'TEC SUPORTE SENIOR'!$F$87</definedName>
    <definedName name="ALIMENTACAO_POR_DIA">'INSERÇÃO-DE-DADOS'!$F$60</definedName>
    <definedName name="BC_ADIC_INSALUB">'INSERÇÃO-DE-DADOS'!$F$24</definedName>
    <definedName name="CATEGORIA_PROFISSIONAL">'INSERÇÃO-DE-DADOS'!$F$32</definedName>
    <definedName name="CBO">'INSERÇÃO-DE-DADOS'!$F$27</definedName>
    <definedName name="DATA_APRESENTACAO_PROPOSTA">'INSERÇÃO-DE-DADOS'!$F$11</definedName>
    <definedName name="DATA_BASE_CATEGORIA">'INSERÇÃO-DE-DADOS'!$F$33</definedName>
    <definedName name="DATA_DO_ORCAMENTO_ESTIMATIVO">'INSERÇÃO-DE-DADOS'!$F$2</definedName>
    <definedName name="DATA_LICITACAO">'INSERÇÃO-DE-DADOS'!$D$8</definedName>
    <definedName name="DIAS_AUSENCIAS_LEGAIS">'DADOS-ESTATISTICOS'!$F$29</definedName>
    <definedName name="DIAS_LICENCA_MATERNIDADE">'DADOS-ESTATISTICOS'!$F$35</definedName>
    <definedName name="DIAS_LICENCA_PATERNIDADE">'DADOS-ESTATISTICOS'!$F$30</definedName>
    <definedName name="DIAS_NA_SEMANA">'DADOS-ESTATISTICOS'!$F$5</definedName>
    <definedName name="DIAS_NO_ANO">'DADOS-ESTATISTICOS'!$F$6</definedName>
    <definedName name="DIAS_NO_MES">'DADOS-ESTATISTICOS'!$F$24</definedName>
    <definedName name="DIAS_PAGOS_EMPRESA_ACID_TRAB">'DADOS-ESTATISTICOS'!$F$34</definedName>
    <definedName name="DIAS_TRABALHADOS_NO_MES_12X36">'DADOS-ESTATISTICOS'!$F$15</definedName>
    <definedName name="DIAS_UTEIS_TRABALHADOS_NO_MES_44HORAS">'DADOS-ESTATISTICOS'!$F$16</definedName>
    <definedName name="DIVISOR_DE_HORAS">'DADOS-ESTATISTICOS'!$F$4</definedName>
    <definedName name="EMPREG_POR_POSTO">'INSERÇÃO-DE-DADOS'!$E$19</definedName>
    <definedName name="EQUIPAMENTOS">'INSERÇÃO-DE-DADOS'!$F$84</definedName>
    <definedName name="FAP">'INSERÇÃO-DE-DADOS'!$F$55</definedName>
    <definedName name="HORA_NORMAL">'DADOS-ESTATISTICOS'!$F$9</definedName>
    <definedName name="HORA_NOTURNA">'DADOS-ESTATISTICOS'!$F$10</definedName>
    <definedName name="HORARIO_LICITACAO">'INSERÇÃO-DE-DADOS'!$F$8</definedName>
    <definedName name="INCID_FGTS_SOBRE_API">'ENCARGOS-SOCIAIS-E-TRABALHISTAS'!$E$21</definedName>
    <definedName name="INCID_SUBMOD_2_2_APT">'ENCARGOS-SOCIAIS-E-TRABALHISTAS'!$E$24</definedName>
    <definedName name="LOCAL_DE_EXECUCAO">'INSERÇÃO-DE-DADOS'!$D$12</definedName>
    <definedName name="MATERIAIS">'INSERÇÃO-DE-DADOS'!$F$83</definedName>
    <definedName name="MEDIA_ANUAL_DIAS_TRABALHO_MES">'DADOS-ESTATISTICOS'!$F$7</definedName>
    <definedName name="MESES_NO_ANO">'DADOS-ESTATISTICOS'!$F$8</definedName>
    <definedName name="MOD_1_REMUNERACAO_12X36">'[1]POSTO 12x36 HORAS'!$F$30</definedName>
    <definedName name="MOD_1_REMUNERACAO_44H" localSheetId="7">'ANALISTA SUP SENIOR'!$F$28</definedName>
    <definedName name="MOD_1_REMUNERACAO_44H" localSheetId="4">GERENTE!$F$28</definedName>
    <definedName name="MOD_1_REMUNERACAO_44H" localSheetId="6">'TEC MANUT SENIOR'!$F$28</definedName>
    <definedName name="MOD_1_REMUNERACAO_44H" localSheetId="8">'TEC SUPORTE JUNIOR'!$F$28</definedName>
    <definedName name="MOD_1_REMUNERACAO_44H" localSheetId="5">'TEC SUPORTE SENIOR'!$F$28</definedName>
    <definedName name="MOD_1_REMUNERACAO_44H">GERENTE!$F$28</definedName>
    <definedName name="MOD_2_ENCARGOS_BENEFICIOS_44H" localSheetId="7">'ANALISTA SUP SENIOR'!$F$34+'ANALISTA SUP SENIOR'!$F$45+'ANALISTA SUP SENIOR'!$F$53</definedName>
    <definedName name="MOD_2_ENCARGOS_BENEFICIOS_44H" localSheetId="4">GERENTE!$F$34+GERENTE!$F$45+GERENTE!$F$53</definedName>
    <definedName name="MOD_2_ENCARGOS_BENEFICIOS_44H" localSheetId="6">'TEC MANUT SENIOR'!$F$34+'TEC MANUT SENIOR'!$F$45+'TEC MANUT SENIOR'!$F$53</definedName>
    <definedName name="MOD_2_ENCARGOS_BENEFICIOS_44H" localSheetId="8">'TEC SUPORTE JUNIOR'!$F$34+'TEC SUPORTE JUNIOR'!$F$45+'TEC SUPORTE JUNIOR'!$F$53</definedName>
    <definedName name="MOD_2_ENCARGOS_BENEFICIOS_44H" localSheetId="5">'TEC SUPORTE SENIOR'!$F$34+'TEC SUPORTE SENIOR'!$F$45+'TEC SUPORTE SENIOR'!$F$53</definedName>
    <definedName name="MOD_2_ENCARGOS_BENEFICIOS_44H">GERENTE!$F$34+GERENTE!$F$45+GERENTE!$F$53</definedName>
    <definedName name="MOD_3_PROVISAO_RESCISAO_44H" localSheetId="7">'ANALISTA SUP SENIOR'!$F$62</definedName>
    <definedName name="MOD_3_PROVISAO_RESCISAO_44H" localSheetId="4">GERENTE!$F$62</definedName>
    <definedName name="MOD_3_PROVISAO_RESCISAO_44H" localSheetId="6">'TEC MANUT SENIOR'!$F$62</definedName>
    <definedName name="MOD_3_PROVISAO_RESCISAO_44H" localSheetId="8">'TEC SUPORTE JUNIOR'!$F$62</definedName>
    <definedName name="MOD_3_PROVISAO_RESCISAO_44H" localSheetId="5">'TEC SUPORTE SENIOR'!$F$62</definedName>
    <definedName name="MOD_3_PROVISAO_RESCISAO_44H">GERENTE!$F$62</definedName>
    <definedName name="MOD_4_CUSTO_REPOSICAO_44H" localSheetId="7">'ANALISTA SUP SENIOR'!$F$73</definedName>
    <definedName name="MOD_4_CUSTO_REPOSICAO_44H" localSheetId="4">GERENTE!$F$73</definedName>
    <definedName name="MOD_4_CUSTO_REPOSICAO_44H" localSheetId="6">'TEC MANUT SENIOR'!$F$73</definedName>
    <definedName name="MOD_4_CUSTO_REPOSICAO_44H" localSheetId="8">'TEC SUPORTE JUNIOR'!$F$73</definedName>
    <definedName name="MOD_4_CUSTO_REPOSICAO_44H" localSheetId="5">'TEC SUPORTE SENIOR'!$F$73</definedName>
    <definedName name="MOD_4_CUSTO_REPOSICAO_44H">GERENTE!$F$73</definedName>
    <definedName name="MOD_5_INSUMOS_44H" localSheetId="7">'ANALISTA SUP SENIOR'!$F$81</definedName>
    <definedName name="MOD_5_INSUMOS_44H" localSheetId="4">GERENTE!$F$81</definedName>
    <definedName name="MOD_5_INSUMOS_44H" localSheetId="6">'TEC MANUT SENIOR'!$F$81</definedName>
    <definedName name="MOD_5_INSUMOS_44H" localSheetId="8">'TEC SUPORTE JUNIOR'!$F$81</definedName>
    <definedName name="MOD_5_INSUMOS_44H" localSheetId="5">'TEC SUPORTE SENIOR'!$F$81</definedName>
    <definedName name="MOD_5_INSUMOS_44H">GERENTE!$F$81</definedName>
    <definedName name="MOD_6_CUSTOS_IND_LUCRO_TRIB_44H" localSheetId="7">'ANALISTA SUP SENIOR'!$F$91</definedName>
    <definedName name="MOD_6_CUSTOS_IND_LUCRO_TRIB_44H" localSheetId="4">GERENTE!$F$91</definedName>
    <definedName name="MOD_6_CUSTOS_IND_LUCRO_TRIB_44H" localSheetId="6">'TEC MANUT SENIOR'!$F$91</definedName>
    <definedName name="MOD_6_CUSTOS_IND_LUCRO_TRIB_44H" localSheetId="8">'TEC SUPORTE JUNIOR'!$F$91</definedName>
    <definedName name="MOD_6_CUSTOS_IND_LUCRO_TRIB_44H" localSheetId="5">'TEC SUPORTE SENIOR'!$F$91</definedName>
    <definedName name="MODALIDADE_DE_LICITACAO">'INSERÇÃO-DE-DADOS'!$D$7</definedName>
    <definedName name="NUMERO_MESES_EXEC_CONTRATUAL">'INSERÇÃO-DE-DADOS'!$F$15</definedName>
    <definedName name="NUMERO_PREGAO">'INSERÇÃO-DE-DADOS'!$F$7</definedName>
    <definedName name="NUMERO_PROCESSO">'INSERÇÃO-DE-DADOS'!$D$6</definedName>
    <definedName name="OUTRAS_AUSENCIAS">'ENCARGOS-SOCIAIS-E-TRABALHISTAS'!$E$34</definedName>
    <definedName name="OUTRAS_AUSENCIAS_DESCRICAO">'INSERÇÃO-DE-DADOS'!$C$74</definedName>
    <definedName name="OUTROS_BENEFICIOS_1">'INSERÇÃO-DE-DADOS'!$F$62</definedName>
    <definedName name="OUTROS_BENEFICIOS_1_DESCRICAO">'INSERÇÃO-DE-DADOS'!$C$62</definedName>
    <definedName name="OUTROS_BENEFICIOS_2">'INSERÇÃO-DE-DADOS'!$F$63</definedName>
    <definedName name="OUTROS_BENEFICIOS_2_DESCRICAO">'INSERÇÃO-DE-DADOS'!$C$63</definedName>
    <definedName name="OUTROS_BENEFICIOS_3">'INSERÇÃO-DE-DADOS'!$F$64</definedName>
    <definedName name="OUTROS_BENEFICIOS_3_DESCRICAO">'INSERÇÃO-DE-DADOS'!$C$64</definedName>
    <definedName name="OUTROS_INSUMOS">'INSERÇÃO-DE-DADOS'!$F$85</definedName>
    <definedName name="OUTROS_INSUMOS_DESCRICAO">'INSERÇÃO-DE-DADOS'!$C$85</definedName>
    <definedName name="OUTROS_REMUNERACAO_1">'INSERÇÃO-DE-DADOS'!$F$47</definedName>
    <definedName name="OUTROS_REMUNERACAO_1_DESCRICAO">'INSERÇÃO-DE-DADOS'!$C$47</definedName>
    <definedName name="OUTROS_REMUNERACAO_2">'INSERÇÃO-DE-DADOS'!$F$48</definedName>
    <definedName name="OUTROS_REMUNERACAO_2_DESCRICAO">'INSERÇÃO-DE-DADOS'!$C$48:$E$48</definedName>
    <definedName name="OUTROS_REMUNERACAO_3">'INSERÇÃO-DE-DADOS'!$F$49</definedName>
    <definedName name="OUTROS_REMUNERACAO_3_DESCRICAO">'INSERÇÃO-DE-DADOS'!$C$49:$E$49</definedName>
    <definedName name="PERC_ADIC_FERIAS">'ENCARGOS-SOCIAIS-E-TRABALHISTAS'!$E$6</definedName>
    <definedName name="PERC_ADIC_INS">'INSERÇÃO-DE-DADOS'!$F$46</definedName>
    <definedName name="PERC_ADIC_NOT">'INSERÇÃO-DE-DADOS'!$F$45</definedName>
    <definedName name="PERC_ADIC_PERIC">'INSERÇÃO-DE-DADOS'!$F$44</definedName>
    <definedName name="PERC_AVISO_PREVIO_IND">'ENCARGOS-SOCIAIS-E-TRABALHISTAS'!$E$20</definedName>
    <definedName name="PERC_AVISO_PREVIO_TRAB">'ENCARGOS-SOCIAIS-E-TRABALHISTAS'!$E$23</definedName>
    <definedName name="PERC_COFINS">'INSERÇÃO-DE-DADOS'!$F$92</definedName>
    <definedName name="PERC_CUSTOS_INDIRETOS">'INSERÇÃO-DE-DADOS'!$F$89</definedName>
    <definedName name="PERC_DEC_TERC">'ENCARGOS-SOCIAIS-E-TRABALHISTAS'!$E$5</definedName>
    <definedName name="PERC_DESC_TRANSP_REMUNERACAO">'DADOS-ESTATISTICOS'!$F$14</definedName>
    <definedName name="PERC_EMPREG_AFAST_TRAB">'DADOS-ESTATISTICOS'!$F$33</definedName>
    <definedName name="PERC_EMPREG_AVISO_PREVIO_IND">'DADOS-ESTATISTICOS'!$F$21</definedName>
    <definedName name="PERC_EMPREG_AVISO_PREVIO_TRAB">'DADOS-ESTATISTICOS'!$F$23</definedName>
    <definedName name="PERC_EMPREG_DEMIT_SEM_JUSTA_CAUSA_TOTAL_DESLIG">'DADOS-ESTATISTICOS'!$F$20</definedName>
    <definedName name="PERC_FAP">'INSERÇÃO-DE-DADOS'!$F$55</definedName>
    <definedName name="PERC_FGTS">'ENCARGOS-SOCIAIS-E-TRABALHISTAS'!$E$16</definedName>
    <definedName name="PERC_GPS_FGTS">'ENCARGOS-SOCIAIS-E-TRABALHISTAS'!$E$17</definedName>
    <definedName name="PERC_HORA_EXTRA">'INSERÇÃO-DE-DADOS'!$F$68</definedName>
    <definedName name="PERC_INCRA">'ENCARGOS-SOCIAIS-E-TRABALHISTAS'!$E$15</definedName>
    <definedName name="PERC_INSS">'ENCARGOS-SOCIAIS-E-TRABALHISTAS'!$E$9</definedName>
    <definedName name="PERC_ISS">'INSERÇÃO-DE-DADOS'!$F$93</definedName>
    <definedName name="PERC_LUCRO">'INSERÇÃO-DE-DADOS'!$F$90</definedName>
    <definedName name="PERC_MOD_3_PROVISAO_RESCISAO" localSheetId="7">'ANALISTA SUP SENIOR'!$E$62</definedName>
    <definedName name="PERC_MOD_3_PROVISAO_RESCISAO" localSheetId="4">GERENTE!$E$62</definedName>
    <definedName name="PERC_MOD_3_PROVISAO_RESCISAO" localSheetId="6">'TEC MANUT SENIOR'!$E$62</definedName>
    <definedName name="PERC_MOD_3_PROVISAO_RESCISAO" localSheetId="8">'TEC SUPORTE JUNIOR'!$E$62</definedName>
    <definedName name="PERC_MOD_3_PROVISAO_RESCISAO" localSheetId="5">'TEC SUPORTE SENIOR'!$E$62</definedName>
    <definedName name="PERC_MULTA_FGTS">'DADOS-ESTATISTICOS'!$F$22</definedName>
    <definedName name="PERC_MULTA_FGTS_AV_PREV_IND">'ENCARGOS-SOCIAIS-E-TRABALHISTAS'!$E$22</definedName>
    <definedName name="PERC_MULTA_FGTS_AV_PREV_TRAB">'ENCARGOS-SOCIAIS-E-TRABALHISTAS'!$E$25</definedName>
    <definedName name="PERC_NASCIDOS_VIVOS_POPUL_FEM">'DADOS-ESTATISTICOS'!$F$31</definedName>
    <definedName name="PERC_PARTIC_FEM_VIGIL">'DADOS-ESTATISTICOS'!$F$36</definedName>
    <definedName name="PERC_PARTIC_MASC_VIGIL">'DADOS-ESTATISTICOS'!$F$32</definedName>
    <definedName name="PERC_PAT">'INSERÇÃO-DE-DADOS'!$F$61</definedName>
    <definedName name="PERC_PIS">'INSERÇÃO-DE-DADOS'!$F$91</definedName>
    <definedName name="PERC_RAT">'ENCARGOS-SOCIAIS-E-TRABALHISTAS'!$E$11</definedName>
    <definedName name="PERC_SAL_EDUCACAO">'ENCARGOS-SOCIAIS-E-TRABALHISTAS'!$E$10</definedName>
    <definedName name="PERC_SEBRAE">'ENCARGOS-SOCIAIS-E-TRABALHISTAS'!$E$14</definedName>
    <definedName name="PERC_SENAC">'ENCARGOS-SOCIAIS-E-TRABALHISTAS'!$E$13</definedName>
    <definedName name="PERC_SESC">'ENCARGOS-SOCIAIS-E-TRABALHISTAS'!$E$12</definedName>
    <definedName name="PERC_SUBSTITUTO_ACID_TRAB">'ENCARGOS-SOCIAIS-E-TRABALHISTAS'!$E$32</definedName>
    <definedName name="PERC_SUBSTITUTO_AFAST_MATERN">'ENCARGOS-SOCIAIS-E-TRABALHISTAS'!$E$33</definedName>
    <definedName name="PERC_SUBSTITUTO_AUSENCIAS_LEGAIS">'ENCARGOS-SOCIAIS-E-TRABALHISTAS'!$E$30</definedName>
    <definedName name="PERC_SUBSTITUTO_FERIAS">'ENCARGOS-SOCIAIS-E-TRABALHISTAS'!$E$29</definedName>
    <definedName name="PERC_SUBSTITUTO_LICENCA_PATERNIDADE">'ENCARGOS-SOCIAIS-E-TRABALHISTAS'!$E$31</definedName>
    <definedName name="PERC_SUBSTITUTO_OUTRAS_AUSENCIAS">'INSERÇÃO-DE-DADOS'!$F$74</definedName>
    <definedName name="PERC_TRIBUTOS" localSheetId="7">'ANALISTA SUP SENIOR'!$E$87</definedName>
    <definedName name="PERC_TRIBUTOS" localSheetId="4">GERENTE!$E$87</definedName>
    <definedName name="PERC_TRIBUTOS" localSheetId="6">'TEC MANUT SENIOR'!$E$87</definedName>
    <definedName name="PERC_TRIBUTOS" localSheetId="8">'TEC SUPORTE JUNIOR'!$E$87</definedName>
    <definedName name="PERC_TRIBUTOS" localSheetId="5">'TEC SUPORTE SENIOR'!$E$87</definedName>
    <definedName name="QTDE_POSTOS" localSheetId="7">'INSERÇÃO-DE-DADOS'!$F$19</definedName>
    <definedName name="QTDE_POSTOS" localSheetId="4">'INSERÇÃO-DE-DADOS'!$F$19</definedName>
    <definedName name="QTDE_POSTOS" localSheetId="6">'INSERÇÃO-DE-DADOS'!$F$19</definedName>
    <definedName name="QTDE_POSTOS" localSheetId="8">'INSERÇÃO-DE-DADOS'!$F$19</definedName>
    <definedName name="QTDE_POSTOS" localSheetId="5">'INSERÇÃO-DE-DADOS'!$F$19</definedName>
    <definedName name="RAMO">'INSERÇÃO-DE-DADOS'!$B$1</definedName>
    <definedName name="SAL_MINIMO">'INSERÇÃO-DE-DADOS'!$F$34</definedName>
    <definedName name="SALARIO_BASE">'INSERÇÃO-DE-DADOS'!$F$39</definedName>
    <definedName name="SUBMOD_2_1_DEC_TERC_ADIC_FERIAS_44H" localSheetId="7">'ANALISTA SUP SENIOR'!$F$34</definedName>
    <definedName name="SUBMOD_2_1_DEC_TERC_ADIC_FERIAS_44H" localSheetId="6">'TEC MANUT SENIOR'!$F$34</definedName>
    <definedName name="SUBMOD_2_1_DEC_TERC_ADIC_FERIAS_44H" localSheetId="8">'TEC SUPORTE JUNIOR'!$F$34</definedName>
    <definedName name="SUBMOD_2_1_DEC_TERC_ADIC_FERIAS_44H" localSheetId="5">'TEC SUPORTE SENIOR'!$F$34</definedName>
    <definedName name="SUBMOD_2_1_DEC_TERC_ADIC_FERIAS_44H">GERENTE!$F$34</definedName>
    <definedName name="SUBMOD_2_2_GPS_FGTS_44H" localSheetId="7">'ANALISTA SUP SENIOR'!$F$45</definedName>
    <definedName name="SUBMOD_2_2_GPS_FGTS_44H" localSheetId="4">GERENTE!$F$45</definedName>
    <definedName name="SUBMOD_2_2_GPS_FGTS_44H" localSheetId="6">'TEC MANUT SENIOR'!$F$45</definedName>
    <definedName name="SUBMOD_2_2_GPS_FGTS_44H" localSheetId="8">'TEC SUPORTE JUNIOR'!$F$45</definedName>
    <definedName name="SUBMOD_2_2_GPS_FGTS_44H" localSheetId="5">'TEC SUPORTE SENIOR'!$F$45</definedName>
    <definedName name="SUBMOD_2_3_BENEFICIOS_44H" localSheetId="7">'ANALISTA SUP SENIOR'!$F$53</definedName>
    <definedName name="SUBMOD_2_3_BENEFICIOS_44H" localSheetId="4">GERENTE!$F$53</definedName>
    <definedName name="SUBMOD_2_3_BENEFICIOS_44H" localSheetId="6">'TEC MANUT SENIOR'!$F$53</definedName>
    <definedName name="SUBMOD_2_3_BENEFICIOS_44H" localSheetId="8">'TEC SUPORTE JUNIOR'!$F$53</definedName>
    <definedName name="SUBMOD_2_3_BENEFICIOS_44H" localSheetId="5">'TEC SUPORTE SENIOR'!$F$53</definedName>
    <definedName name="SUBMOD_2_4_INTERVALO_INTRAJORNADA_12X36">'[1]POSTO 12x36 HORAS'!$F$59</definedName>
    <definedName name="SUBMOD_4_1_SUBSTITUTO_44H" localSheetId="7">'ANALISTA SUP SENIOR'!$F$73</definedName>
    <definedName name="SUBMOD_4_1_SUBSTITUTO_44H" localSheetId="4">GERENTE!$F$73</definedName>
    <definedName name="SUBMOD_4_1_SUBSTITUTO_44H" localSheetId="6">'TEC MANUT SENIOR'!$F$73</definedName>
    <definedName name="SUBMOD_4_1_SUBSTITUTO_44H" localSheetId="8">'TEC SUPORTE JUNIOR'!$F$73</definedName>
    <definedName name="SUBMOD_4_1_SUBSTITUTO_44H" localSheetId="5">'TEC SUPORTE SENIOR'!$F$73</definedName>
    <definedName name="TEMPO_INTERVALO_REFEICAO_INTERV_INTRA">'INSERÇÃO-DE-DADOS'!$F$69</definedName>
    <definedName name="TEMPO_INTERVALO_REFEICAO_SUBST_INTRA">'INSERÇÃO-DE-DADOS'!$F$78</definedName>
    <definedName name="TIPO_DE_SERVICO">'INSERÇÃO-DE-DADOS'!$C$19</definedName>
    <definedName name="TRANSPORTE_POR_DIA">'INSERÇÃO-DE-DADOS'!$F$59</definedName>
    <definedName name="UG">'INSERÇÃO-DE-DADOS'!$B$2</definedName>
    <definedName name="UNIFORMES">'INSERÇÃO-DE-DADOS'!$F$82</definedName>
    <definedName name="VALOR_TOTAL_EMPREGADO_44H" localSheetId="7">'ANALISTA SUP SENIOR'!$F$100</definedName>
    <definedName name="VALOR_TOTAL_EMPREGADO_44H" localSheetId="4">GERENTE!$F$100</definedName>
    <definedName name="VALOR_TOTAL_EMPREGADO_44H" localSheetId="6">'TEC MANUT SENIOR'!$F$100</definedName>
    <definedName name="VALOR_TOTAL_EMPREGADO_44H" localSheetId="8">'TEC SUPORTE JUNIOR'!$F$100</definedName>
    <definedName name="VALOR_TOTAL_EMPREGADO_44H" localSheetId="5">'TEC SUPORTE SENIOR'!$F$100</definedName>
    <definedName name="VALOR_TOTAL_POSTO_44H" localSheetId="7">'ANALISTA SUP SENIOR'!$F$101</definedName>
    <definedName name="VALOR_TOTAL_POSTO_44H" localSheetId="4">GERENTE!$F$101</definedName>
    <definedName name="VALOR_TOTAL_POSTO_44H" localSheetId="6">'TEC MANUT SENIOR'!$F$101</definedName>
    <definedName name="VALOR_TOTAL_POSTO_44H" localSheetId="8">'TEC SUPORTE JUNIOR'!$F$101</definedName>
    <definedName name="VALOR_TOTAL_POSTO_44H" localSheetId="5">'TEC SUPORTE SENIOR'!$F$101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0" l="1"/>
  <c r="F102" i="9"/>
  <c r="F101" i="9"/>
  <c r="F102" i="8"/>
  <c r="F101" i="8"/>
  <c r="F101" i="7"/>
  <c r="F102" i="7" s="1"/>
  <c r="F102" i="5"/>
  <c r="F101" i="5"/>
  <c r="F22" i="8"/>
  <c r="F22" i="9"/>
  <c r="C11" i="1"/>
  <c r="D11" i="1" s="1"/>
  <c r="C10" i="1"/>
  <c r="B14" i="1"/>
  <c r="B13" i="1"/>
  <c r="B12" i="1"/>
  <c r="A14" i="1"/>
  <c r="A13" i="1"/>
  <c r="A12" i="1"/>
  <c r="B11" i="1"/>
  <c r="A11" i="1"/>
  <c r="B10" i="1"/>
  <c r="A10" i="1"/>
  <c r="D15" i="9"/>
  <c r="D15" i="10"/>
  <c r="E14" i="10"/>
  <c r="E90" i="10"/>
  <c r="E87" i="10" s="1"/>
  <c r="E89" i="10"/>
  <c r="E88" i="10"/>
  <c r="E86" i="10"/>
  <c r="E85" i="10"/>
  <c r="F80" i="10"/>
  <c r="F81" i="10" s="1"/>
  <c r="F98" i="10" s="1"/>
  <c r="C80" i="10"/>
  <c r="F79" i="10"/>
  <c r="F78" i="10"/>
  <c r="F77" i="10"/>
  <c r="E72" i="10"/>
  <c r="C72" i="10"/>
  <c r="F52" i="10"/>
  <c r="C52" i="10"/>
  <c r="F51" i="10"/>
  <c r="C51" i="10"/>
  <c r="F50" i="10"/>
  <c r="C50" i="10"/>
  <c r="F49" i="10"/>
  <c r="E44" i="10"/>
  <c r="E43" i="10"/>
  <c r="E42" i="10"/>
  <c r="E41" i="10"/>
  <c r="E40" i="10"/>
  <c r="E38" i="10"/>
  <c r="E37" i="10"/>
  <c r="F27" i="10"/>
  <c r="C27" i="10"/>
  <c r="F26" i="10"/>
  <c r="C26" i="10"/>
  <c r="F25" i="10"/>
  <c r="C25" i="10"/>
  <c r="F24" i="10"/>
  <c r="F23" i="10"/>
  <c r="F28" i="10"/>
  <c r="F19" i="10"/>
  <c r="F17" i="10"/>
  <c r="D16" i="10"/>
  <c r="F12" i="10"/>
  <c r="F11" i="10"/>
  <c r="F10" i="10"/>
  <c r="D9" i="10"/>
  <c r="F8" i="10"/>
  <c r="F6" i="10"/>
  <c r="D6" i="10"/>
  <c r="D5" i="10"/>
  <c r="F2" i="10"/>
  <c r="B2" i="10"/>
  <c r="B1" i="10"/>
  <c r="E14" i="9"/>
  <c r="E14" i="8"/>
  <c r="E90" i="9"/>
  <c r="E89" i="9"/>
  <c r="E88" i="9"/>
  <c r="E87" i="9" s="1"/>
  <c r="E86" i="9"/>
  <c r="E85" i="9"/>
  <c r="F80" i="9"/>
  <c r="C80" i="9"/>
  <c r="F79" i="9"/>
  <c r="F78" i="9"/>
  <c r="F77" i="9"/>
  <c r="E72" i="9"/>
  <c r="C72" i="9"/>
  <c r="F52" i="9"/>
  <c r="C52" i="9"/>
  <c r="F51" i="9"/>
  <c r="C51" i="9"/>
  <c r="F50" i="9"/>
  <c r="C50" i="9"/>
  <c r="F49" i="9"/>
  <c r="F48" i="9"/>
  <c r="E44" i="9"/>
  <c r="E43" i="9"/>
  <c r="E42" i="9"/>
  <c r="E41" i="9"/>
  <c r="E40" i="9"/>
  <c r="E38" i="9"/>
  <c r="E37" i="9"/>
  <c r="F27" i="9"/>
  <c r="F28" i="9" s="1"/>
  <c r="C27" i="9"/>
  <c r="F26" i="9"/>
  <c r="C26" i="9"/>
  <c r="F25" i="9"/>
  <c r="C25" i="9"/>
  <c r="F24" i="9"/>
  <c r="F23" i="9"/>
  <c r="F19" i="9"/>
  <c r="F17" i="9"/>
  <c r="D16" i="9"/>
  <c r="F12" i="9"/>
  <c r="F11" i="9"/>
  <c r="F10" i="9"/>
  <c r="D9" i="9"/>
  <c r="F8" i="9"/>
  <c r="F6" i="9"/>
  <c r="D6" i="9"/>
  <c r="D5" i="9"/>
  <c r="F2" i="9"/>
  <c r="B2" i="9"/>
  <c r="B1" i="9"/>
  <c r="D15" i="8"/>
  <c r="D15" i="7"/>
  <c r="E14" i="7"/>
  <c r="E14" i="5"/>
  <c r="D15" i="5"/>
  <c r="E90" i="8"/>
  <c r="E89" i="8"/>
  <c r="E88" i="8"/>
  <c r="E86" i="8"/>
  <c r="E85" i="8"/>
  <c r="F80" i="8"/>
  <c r="C80" i="8"/>
  <c r="F79" i="8"/>
  <c r="F78" i="8"/>
  <c r="F77" i="8"/>
  <c r="E72" i="8"/>
  <c r="C72" i="8"/>
  <c r="F52" i="8"/>
  <c r="C52" i="8"/>
  <c r="F51" i="8"/>
  <c r="C51" i="8"/>
  <c r="F50" i="8"/>
  <c r="C50" i="8"/>
  <c r="F49" i="8"/>
  <c r="E44" i="8"/>
  <c r="E43" i="8"/>
  <c r="E42" i="8"/>
  <c r="E41" i="8"/>
  <c r="E40" i="8"/>
  <c r="E38" i="8"/>
  <c r="E37" i="8"/>
  <c r="F27" i="8"/>
  <c r="C27" i="8"/>
  <c r="F26" i="8"/>
  <c r="C26" i="8"/>
  <c r="F25" i="8"/>
  <c r="C25" i="8"/>
  <c r="F24" i="8"/>
  <c r="F23" i="8"/>
  <c r="F48" i="8"/>
  <c r="F19" i="8"/>
  <c r="F17" i="8"/>
  <c r="D16" i="8"/>
  <c r="F12" i="8"/>
  <c r="F11" i="8"/>
  <c r="F10" i="8"/>
  <c r="D9" i="8"/>
  <c r="F8" i="8"/>
  <c r="F6" i="8"/>
  <c r="D6" i="8"/>
  <c r="D5" i="8"/>
  <c r="F2" i="8"/>
  <c r="B2" i="8"/>
  <c r="B1" i="8"/>
  <c r="F22" i="7"/>
  <c r="E90" i="7"/>
  <c r="E89" i="7"/>
  <c r="E88" i="7"/>
  <c r="E86" i="7"/>
  <c r="E85" i="7"/>
  <c r="F80" i="7"/>
  <c r="C80" i="7"/>
  <c r="F79" i="7"/>
  <c r="F78" i="7"/>
  <c r="F77" i="7"/>
  <c r="E72" i="7"/>
  <c r="C72" i="7"/>
  <c r="F52" i="7"/>
  <c r="C52" i="7"/>
  <c r="F51" i="7"/>
  <c r="C51" i="7"/>
  <c r="F50" i="7"/>
  <c r="C50" i="7"/>
  <c r="F49" i="7"/>
  <c r="E44" i="7"/>
  <c r="E43" i="7"/>
  <c r="E42" i="7"/>
  <c r="E41" i="7"/>
  <c r="E40" i="7"/>
  <c r="E38" i="7"/>
  <c r="E37" i="7"/>
  <c r="F27" i="7"/>
  <c r="C27" i="7"/>
  <c r="F26" i="7"/>
  <c r="C26" i="7"/>
  <c r="F25" i="7"/>
  <c r="C25" i="7"/>
  <c r="F24" i="7"/>
  <c r="F23" i="7"/>
  <c r="F48" i="7"/>
  <c r="F19" i="7"/>
  <c r="F17" i="7"/>
  <c r="D16" i="7"/>
  <c r="F12" i="7"/>
  <c r="F11" i="7"/>
  <c r="F10" i="7"/>
  <c r="D9" i="7"/>
  <c r="F8" i="7"/>
  <c r="F6" i="7"/>
  <c r="D6" i="7"/>
  <c r="D5" i="7"/>
  <c r="F2" i="7"/>
  <c r="B2" i="7"/>
  <c r="B1" i="7"/>
  <c r="D10" i="1" l="1"/>
  <c r="F94" i="10"/>
  <c r="F81" i="9"/>
  <c r="F98" i="9" s="1"/>
  <c r="F48" i="10"/>
  <c r="F53" i="10" s="1"/>
  <c r="F53" i="9"/>
  <c r="E87" i="8"/>
  <c r="F53" i="8"/>
  <c r="F94" i="9"/>
  <c r="F81" i="8"/>
  <c r="F98" i="8" s="1"/>
  <c r="E87" i="7"/>
  <c r="F28" i="7"/>
  <c r="F94" i="7" s="1"/>
  <c r="F28" i="8"/>
  <c r="F81" i="7"/>
  <c r="F98" i="7" s="1"/>
  <c r="F53" i="7"/>
  <c r="F62" i="6"/>
  <c r="F94" i="8" l="1"/>
  <c r="C40" i="6"/>
  <c r="C41" i="6"/>
  <c r="C42" i="6"/>
  <c r="C43" i="6"/>
  <c r="C39" i="6"/>
  <c r="C27" i="6"/>
  <c r="C31" i="6"/>
  <c r="C30" i="6"/>
  <c r="C29" i="6"/>
  <c r="C28" i="6"/>
  <c r="B1" i="5"/>
  <c r="B2" i="5"/>
  <c r="F2" i="5"/>
  <c r="D5" i="5"/>
  <c r="D6" i="5"/>
  <c r="F6" i="5"/>
  <c r="F8" i="5"/>
  <c r="D9" i="5"/>
  <c r="F10" i="5"/>
  <c r="F11" i="5"/>
  <c r="F12" i="5"/>
  <c r="D16" i="5"/>
  <c r="F17" i="5"/>
  <c r="F19" i="5"/>
  <c r="F22" i="5"/>
  <c r="F48" i="5" s="1"/>
  <c r="F23" i="5"/>
  <c r="F24" i="5"/>
  <c r="C25" i="5"/>
  <c r="F25" i="5"/>
  <c r="C26" i="5"/>
  <c r="F26" i="5"/>
  <c r="C27" i="5"/>
  <c r="F27" i="5"/>
  <c r="E37" i="5"/>
  <c r="E38" i="5"/>
  <c r="E40" i="5"/>
  <c r="E41" i="5"/>
  <c r="E42" i="5"/>
  <c r="E43" i="5"/>
  <c r="E44" i="5"/>
  <c r="F49" i="5"/>
  <c r="C50" i="5"/>
  <c r="F50" i="5"/>
  <c r="C51" i="5"/>
  <c r="F51" i="5"/>
  <c r="C52" i="5"/>
  <c r="F52" i="5"/>
  <c r="C72" i="5"/>
  <c r="E72" i="5"/>
  <c r="F77" i="5"/>
  <c r="F78" i="5"/>
  <c r="F79" i="5"/>
  <c r="C80" i="5"/>
  <c r="F80" i="5"/>
  <c r="E85" i="5"/>
  <c r="E86" i="5"/>
  <c r="E88" i="5"/>
  <c r="E89" i="5"/>
  <c r="E90" i="5"/>
  <c r="E5" i="4"/>
  <c r="E6" i="4"/>
  <c r="E11" i="4"/>
  <c r="E20" i="4"/>
  <c r="E22" i="4"/>
  <c r="E23" i="4"/>
  <c r="E25" i="4"/>
  <c r="E29" i="4"/>
  <c r="E30" i="4"/>
  <c r="E31" i="4"/>
  <c r="E32" i="4"/>
  <c r="C34" i="4"/>
  <c r="E34" i="4"/>
  <c r="F33" i="3"/>
  <c r="E70" i="10" l="1"/>
  <c r="E69" i="10"/>
  <c r="E68" i="10"/>
  <c r="E67" i="10"/>
  <c r="E61" i="10"/>
  <c r="E59" i="10"/>
  <c r="E58" i="10"/>
  <c r="E56" i="10"/>
  <c r="E39" i="10"/>
  <c r="F33" i="10"/>
  <c r="E33" i="10"/>
  <c r="F32" i="10"/>
  <c r="E32" i="10"/>
  <c r="E59" i="9"/>
  <c r="E70" i="9"/>
  <c r="E69" i="9"/>
  <c r="E68" i="9"/>
  <c r="E67" i="9"/>
  <c r="E61" i="9"/>
  <c r="E56" i="9"/>
  <c r="E33" i="9"/>
  <c r="F33" i="9"/>
  <c r="E32" i="9"/>
  <c r="F32" i="9"/>
  <c r="E58" i="9"/>
  <c r="E39" i="9"/>
  <c r="E56" i="8"/>
  <c r="E70" i="8"/>
  <c r="E69" i="8"/>
  <c r="E59" i="8"/>
  <c r="E39" i="8"/>
  <c r="F33" i="8"/>
  <c r="E33" i="8"/>
  <c r="F32" i="8"/>
  <c r="E32" i="8"/>
  <c r="E68" i="8"/>
  <c r="E67" i="8"/>
  <c r="E61" i="8"/>
  <c r="E58" i="8"/>
  <c r="E68" i="5"/>
  <c r="E68" i="7"/>
  <c r="E67" i="5"/>
  <c r="E67" i="7"/>
  <c r="E61" i="7"/>
  <c r="E59" i="5"/>
  <c r="E59" i="7"/>
  <c r="E58" i="5"/>
  <c r="E58" i="7"/>
  <c r="E17" i="4"/>
  <c r="E33" i="4" s="1"/>
  <c r="E39" i="7"/>
  <c r="E70" i="5"/>
  <c r="E70" i="7"/>
  <c r="E21" i="4"/>
  <c r="E56" i="7"/>
  <c r="E33" i="5"/>
  <c r="E33" i="7"/>
  <c r="F33" i="7"/>
  <c r="E32" i="5"/>
  <c r="E32" i="7"/>
  <c r="F32" i="7"/>
  <c r="E61" i="5"/>
  <c r="E69" i="5"/>
  <c r="E69" i="7"/>
  <c r="E87" i="5"/>
  <c r="F81" i="5"/>
  <c r="F98" i="5" s="1"/>
  <c r="F53" i="5"/>
  <c r="E56" i="5"/>
  <c r="E39" i="5"/>
  <c r="F28" i="5"/>
  <c r="F34" i="10" l="1"/>
  <c r="F59" i="10" s="1"/>
  <c r="F34" i="9"/>
  <c r="F44" i="9" s="1"/>
  <c r="F43" i="10"/>
  <c r="F37" i="10"/>
  <c r="F42" i="10"/>
  <c r="F40" i="10"/>
  <c r="F44" i="10"/>
  <c r="F38" i="10"/>
  <c r="F41" i="10"/>
  <c r="F61" i="10"/>
  <c r="F57" i="10"/>
  <c r="E57" i="10"/>
  <c r="F39" i="10"/>
  <c r="F61" i="9"/>
  <c r="F56" i="10"/>
  <c r="F58" i="10"/>
  <c r="E71" i="10"/>
  <c r="E71" i="9"/>
  <c r="F40" i="9"/>
  <c r="F38" i="9"/>
  <c r="F43" i="9"/>
  <c r="F37" i="9"/>
  <c r="F42" i="9"/>
  <c r="F41" i="9"/>
  <c r="F57" i="9"/>
  <c r="E57" i="9"/>
  <c r="F56" i="9"/>
  <c r="E71" i="8"/>
  <c r="E24" i="4"/>
  <c r="F34" i="8"/>
  <c r="F57" i="8"/>
  <c r="E57" i="8"/>
  <c r="F34" i="7"/>
  <c r="F40" i="7" s="1"/>
  <c r="F44" i="7"/>
  <c r="F38" i="7"/>
  <c r="F43" i="7"/>
  <c r="E57" i="5"/>
  <c r="E57" i="7"/>
  <c r="E60" i="5"/>
  <c r="E71" i="5"/>
  <c r="E71" i="7"/>
  <c r="F32" i="5"/>
  <c r="F33" i="5"/>
  <c r="F94" i="5"/>
  <c r="F59" i="9" l="1"/>
  <c r="F39" i="9"/>
  <c r="F58" i="9"/>
  <c r="F62" i="9" s="1"/>
  <c r="F96" i="9" s="1"/>
  <c r="F58" i="7"/>
  <c r="F60" i="10"/>
  <c r="F62" i="10" s="1"/>
  <c r="F96" i="10" s="1"/>
  <c r="E60" i="10"/>
  <c r="F42" i="7"/>
  <c r="F45" i="10"/>
  <c r="F37" i="7"/>
  <c r="F60" i="9"/>
  <c r="E60" i="9"/>
  <c r="F45" i="9"/>
  <c r="E60" i="7"/>
  <c r="F60" i="7"/>
  <c r="F43" i="8"/>
  <c r="F37" i="8"/>
  <c r="F42" i="8"/>
  <c r="F40" i="8"/>
  <c r="F38" i="8"/>
  <c r="F41" i="8"/>
  <c r="F44" i="8"/>
  <c r="F56" i="8"/>
  <c r="F58" i="8"/>
  <c r="F61" i="8"/>
  <c r="F39" i="8"/>
  <c r="F59" i="8"/>
  <c r="E60" i="8"/>
  <c r="F60" i="8"/>
  <c r="F57" i="7"/>
  <c r="F41" i="7"/>
  <c r="F39" i="7"/>
  <c r="F61" i="7"/>
  <c r="F56" i="7"/>
  <c r="F59" i="7"/>
  <c r="F34" i="5"/>
  <c r="F45" i="7" l="1"/>
  <c r="F70" i="10"/>
  <c r="F71" i="10"/>
  <c r="F67" i="10"/>
  <c r="F95" i="10"/>
  <c r="F68" i="10"/>
  <c r="F72" i="10"/>
  <c r="F69" i="10"/>
  <c r="F67" i="9"/>
  <c r="F68" i="9"/>
  <c r="F71" i="9"/>
  <c r="F72" i="9"/>
  <c r="F70" i="9"/>
  <c r="F95" i="9"/>
  <c r="F69" i="9"/>
  <c r="F62" i="7"/>
  <c r="F96" i="7" s="1"/>
  <c r="F62" i="8"/>
  <c r="F96" i="8" s="1"/>
  <c r="F45" i="8"/>
  <c r="F69" i="7"/>
  <c r="F70" i="7"/>
  <c r="F71" i="7"/>
  <c r="F72" i="7"/>
  <c r="F95" i="7"/>
  <c r="F67" i="7"/>
  <c r="F68" i="7"/>
  <c r="F39" i="5"/>
  <c r="F61" i="5"/>
  <c r="F38" i="5"/>
  <c r="F40" i="5"/>
  <c r="F60" i="5"/>
  <c r="F59" i="5"/>
  <c r="F42" i="5"/>
  <c r="F57" i="5"/>
  <c r="F41" i="5"/>
  <c r="F56" i="5"/>
  <c r="F58" i="5"/>
  <c r="F37" i="5"/>
  <c r="F43" i="5"/>
  <c r="F44" i="5"/>
  <c r="F73" i="10" l="1"/>
  <c r="F73" i="9"/>
  <c r="F69" i="8"/>
  <c r="F68" i="8"/>
  <c r="F70" i="8"/>
  <c r="F71" i="8"/>
  <c r="F72" i="8"/>
  <c r="F67" i="8"/>
  <c r="F95" i="8"/>
  <c r="F73" i="7"/>
  <c r="F62" i="5"/>
  <c r="F96" i="5" s="1"/>
  <c r="F45" i="5"/>
  <c r="F97" i="10" l="1"/>
  <c r="F85" i="10"/>
  <c r="F86" i="10"/>
  <c r="F90" i="10" s="1"/>
  <c r="F88" i="10"/>
  <c r="F97" i="9"/>
  <c r="F85" i="9"/>
  <c r="F73" i="8"/>
  <c r="F97" i="8" s="1"/>
  <c r="F97" i="7"/>
  <c r="F85" i="7"/>
  <c r="F86" i="7" s="1"/>
  <c r="F95" i="5"/>
  <c r="F70" i="5"/>
  <c r="F67" i="5"/>
  <c r="F68" i="5"/>
  <c r="F71" i="5"/>
  <c r="F72" i="5"/>
  <c r="F69" i="5"/>
  <c r="F89" i="10" l="1"/>
  <c r="F87" i="10" s="1"/>
  <c r="F91" i="10" s="1"/>
  <c r="F99" i="10" s="1"/>
  <c r="F100" i="10" s="1"/>
  <c r="F88" i="9"/>
  <c r="F86" i="9"/>
  <c r="F90" i="9" s="1"/>
  <c r="F85" i="8"/>
  <c r="F88" i="8" s="1"/>
  <c r="F89" i="9"/>
  <c r="F87" i="9" s="1"/>
  <c r="F91" i="9" s="1"/>
  <c r="F99" i="9" s="1"/>
  <c r="F100" i="9" s="1"/>
  <c r="C13" i="1" s="1"/>
  <c r="D13" i="1" s="1"/>
  <c r="F86" i="8"/>
  <c r="F90" i="8" s="1"/>
  <c r="F89" i="8"/>
  <c r="F89" i="7"/>
  <c r="F88" i="7"/>
  <c r="F90" i="7"/>
  <c r="F73" i="5"/>
  <c r="F101" i="10" l="1"/>
  <c r="F102" i="10" s="1"/>
  <c r="C14" i="1"/>
  <c r="D14" i="1" s="1"/>
  <c r="F87" i="7"/>
  <c r="F91" i="7" s="1"/>
  <c r="F99" i="7" s="1"/>
  <c r="F100" i="7" s="1"/>
  <c r="F87" i="8"/>
  <c r="F91" i="8" s="1"/>
  <c r="F99" i="8" s="1"/>
  <c r="F100" i="8" s="1"/>
  <c r="C12" i="1" s="1"/>
  <c r="D12" i="1" s="1"/>
  <c r="F97" i="5"/>
  <c r="F85" i="5"/>
  <c r="F86" i="5" s="1"/>
  <c r="F88" i="5" s="1"/>
  <c r="F90" i="5" l="1"/>
  <c r="F89" i="5"/>
  <c r="F87" i="5" l="1"/>
  <c r="F91" i="5" s="1"/>
  <c r="F99" i="5" s="1"/>
  <c r="F100" i="5" s="1"/>
  <c r="E14" i="1" l="1"/>
  <c r="F14" i="1" s="1"/>
  <c r="E13" i="1" l="1"/>
  <c r="F13" i="1" s="1"/>
  <c r="E12" i="1"/>
  <c r="F12" i="1" s="1"/>
  <c r="E11" i="1"/>
  <c r="F11" i="1" s="1"/>
  <c r="D15" i="1"/>
  <c r="E10" i="1" l="1"/>
  <c r="E15" i="1" l="1"/>
  <c r="F10" i="1"/>
  <c r="F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61" authorId="0" shapeId="0" xr:uid="{00000000-0006-0000-0000-000001000000}">
      <text>
        <r>
          <rPr>
            <sz val="10"/>
            <color rgb="FF000000"/>
            <rFont val="Calibri"/>
            <family val="2"/>
            <scheme val="minor"/>
          </rPr>
          <t>======
ID#AAABgimFERA
André Flores    (2025-03-20 21:53:13)
Limitado a 20%</t>
        </r>
      </text>
    </comment>
  </commentList>
</comments>
</file>

<file path=xl/sharedStrings.xml><?xml version="1.0" encoding="utf-8"?>
<sst xmlns="http://schemas.openxmlformats.org/spreadsheetml/2006/main" count="1096" uniqueCount="222">
  <si>
    <t>COORDENADORIA DE FISCALIZAÇÃO E COMPRAS - COFIC</t>
  </si>
  <si>
    <t>NÚCELO DE COMPRAS - NUCOMP</t>
  </si>
  <si>
    <t>PROC. SEI 4747/2025-48</t>
  </si>
  <si>
    <t>QUADRO RESUMO DOS POSTOS</t>
  </si>
  <si>
    <t>POSTO</t>
  </si>
  <si>
    <t>QUANTIDADE DE POSTOS</t>
  </si>
  <si>
    <t>TOTAL</t>
  </si>
  <si>
    <t>Para mais informações, consulte o Referencial Técnico de Custos, constante da página da Auditoria Interna do MPU na internet (www.auditoria.mpu.mp.br).</t>
  </si>
  <si>
    <t>OBSERVAÇÃO</t>
  </si>
  <si>
    <t>Participação Feminina (em %)</t>
  </si>
  <si>
    <t>H</t>
  </si>
  <si>
    <t>Dias de Licença-Maternidade</t>
  </si>
  <si>
    <t>G</t>
  </si>
  <si>
    <t>Dias pagos pela empresa em acidentes de trabalho</t>
  </si>
  <si>
    <t>F</t>
  </si>
  <si>
    <t>Empregados afastados por acidente de trabalho (em %)</t>
  </si>
  <si>
    <t>E</t>
  </si>
  <si>
    <t>Participação Masculina (em %)</t>
  </si>
  <si>
    <t>D</t>
  </si>
  <si>
    <t>Nascidos Vivos / População Feminina (em %)</t>
  </si>
  <si>
    <t>C</t>
  </si>
  <si>
    <t>Dias de Licença-Paternidade</t>
  </si>
  <si>
    <t>B</t>
  </si>
  <si>
    <t>Dias de Ausências Legais</t>
  </si>
  <si>
    <t>A</t>
  </si>
  <si>
    <t>Dias / %</t>
  </si>
  <si>
    <t>Substituto nas Ausências Legais</t>
  </si>
  <si>
    <t>4.1</t>
  </si>
  <si>
    <t>Submódulo 4.1 - Substituto nas Ausências Legais</t>
  </si>
  <si>
    <t>MÓDULO 4: CUSTO DE REPOSIÇÃO DO PROFISSIONAL AUSENTE</t>
  </si>
  <si>
    <t>Dias no mês</t>
  </si>
  <si>
    <t>Empregados que recebem aviso prévio trabalhado (em %)</t>
  </si>
  <si>
    <t>Multa do FGTS (em %)</t>
  </si>
  <si>
    <t>Empregados que recebem aviso prévio indenizado (em %)</t>
  </si>
  <si>
    <t>Pessoas demitidas sem justa causa / Total de desligamentos (em %)</t>
  </si>
  <si>
    <t>Provisão para Rescisão</t>
  </si>
  <si>
    <t>MÓDULO 3: PROVISÃO PARA RESCISÃO</t>
  </si>
  <si>
    <t>Mensal</t>
  </si>
  <si>
    <t>Dias Trabalhados 44 horas</t>
  </si>
  <si>
    <t>Dias Trabalhados 12 x 36 horas</t>
  </si>
  <si>
    <t>Desconto Remuneração Transporte</t>
  </si>
  <si>
    <t>%</t>
  </si>
  <si>
    <t>Frequência</t>
  </si>
  <si>
    <t>Benefícios Mensais e Diários</t>
  </si>
  <si>
    <t>2.3</t>
  </si>
  <si>
    <t>Submódulo 2.3 - Benefícios Mensais e Diários</t>
  </si>
  <si>
    <t>Hora Noturna (em minutos)</t>
  </si>
  <si>
    <t>L</t>
  </si>
  <si>
    <t>Hora Normal (em minutos)</t>
  </si>
  <si>
    <t>K</t>
  </si>
  <si>
    <t xml:space="preserve">Meses no Ano </t>
  </si>
  <si>
    <t>J</t>
  </si>
  <si>
    <t>Média Anual de Dias Trabalhados no Mês</t>
  </si>
  <si>
    <t>I</t>
  </si>
  <si>
    <t>Dias no Ano</t>
  </si>
  <si>
    <t>Dias na Semana</t>
  </si>
  <si>
    <t>Divisor de Horas (em horas)</t>
  </si>
  <si>
    <t>Dias / Horas / Minutos</t>
  </si>
  <si>
    <t>Composição da Remuneração</t>
  </si>
  <si>
    <t>MÓDULO 1: COMPOSIÇÃO DA REMUNERAÇÃO</t>
  </si>
  <si>
    <t>DADOS ESTATÍSTICOS</t>
  </si>
  <si>
    <t xml:space="preserve">*FAP - Deverá estar previsto na proposta da empresa licitante e comprovada sua incidência posteriormente. </t>
  </si>
  <si>
    <t>{[(120/30)/12] x 1,416% x 54,78% x 36,80%} x 100</t>
  </si>
  <si>
    <t>Substituto na Cobertura de Afastamento Maternidade</t>
  </si>
  <si>
    <t>[(15/30)/12] x 0,44%} x 100</t>
  </si>
  <si>
    <t>Substituto na Cobertura de Ausência por Acidente de Trabalho</t>
  </si>
  <si>
    <t>{[(5/30)/12] x 1,416% x 45,22%} x 100</t>
  </si>
  <si>
    <t>Substituto na Cobertura de Licença-Paternidade</t>
  </si>
  <si>
    <t>[(8/30)/12] x 100</t>
  </si>
  <si>
    <t>Substituto na Cobertura de Ausências Legais</t>
  </si>
  <si>
    <t xml:space="preserve">(1/12) x 100 </t>
  </si>
  <si>
    <t xml:space="preserve">Substituto na Cobertura de Férias </t>
  </si>
  <si>
    <t>Memória de Cálculo</t>
  </si>
  <si>
    <t>[(62,93%) x 94,45% x 40%  x 8,00% x 100</t>
  </si>
  <si>
    <t>Multa do FGTS sobre o Aviso Prévio Trabalhado</t>
  </si>
  <si>
    <t>1,16% x 36,80% x 100</t>
  </si>
  <si>
    <t xml:space="preserve">Incidência dos encargos do submódulo 2.2 sobre o Aviso Prévio Trabalhado </t>
  </si>
  <si>
    <t>[(62,93%) x 94,45% x (7/30)/12] x 100</t>
  </si>
  <si>
    <t>Aviso Prévio Trabalhado</t>
  </si>
  <si>
    <t>[(62,93%) x 5,55%x 40%  x 8,00% x 100</t>
  </si>
  <si>
    <t>Multa do FGTS sobre o Aviso Prévio Indenizado</t>
  </si>
  <si>
    <t>0,29% x 8,00% x 100</t>
  </si>
  <si>
    <t>Incidência do FGTS sobre o Aviso Prévio Indenizado</t>
  </si>
  <si>
    <t>[(62,93%) x 5,55% x (1/12)] x 100</t>
  </si>
  <si>
    <t>Aviso Prévio Indenizado</t>
  </si>
  <si>
    <t>FGTS</t>
  </si>
  <si>
    <t>INCRA</t>
  </si>
  <si>
    <t>SEBRAE</t>
  </si>
  <si>
    <t>SENAC</t>
  </si>
  <si>
    <t>SESC</t>
  </si>
  <si>
    <t>RAT x FAP*</t>
  </si>
  <si>
    <t>Salário Educação</t>
  </si>
  <si>
    <t>INSS</t>
  </si>
  <si>
    <t>Encargos Previdenciários (GPS), Fundo de Garantia por Tempo de Serviço (FGTS) e outras contribuições</t>
  </si>
  <si>
    <t>2.2</t>
  </si>
  <si>
    <t>Submódulo 2.2 - Encargos Previdencários (GPS), Fundo de Garantia por Tempo de Serviço (FGTS) e Outras Contribuições</t>
  </si>
  <si>
    <t>[(1/3)/12] x 100</t>
  </si>
  <si>
    <t>Adicional de Férias</t>
  </si>
  <si>
    <t>(1/12) x 100</t>
  </si>
  <si>
    <t>13º Salário</t>
  </si>
  <si>
    <t>13º Salário e Adicional de Férias</t>
  </si>
  <si>
    <t>2.1</t>
  </si>
  <si>
    <t>Submódulo 2.1 - 13º (décimo terceiro) Salário e Adicional de Férias</t>
  </si>
  <si>
    <t>MÓDULO 2: ENCARGOS E BENEFÍCIOS ANUAIS, MENSAIS E DIÁRIOS</t>
  </si>
  <si>
    <t>ENCARGOS SOCIAIS E TRABALHISTAS</t>
  </si>
  <si>
    <t>VALOR TOTAL DA CATEGORIA</t>
  </si>
  <si>
    <t>VALOR TOTAL POR POSTO</t>
  </si>
  <si>
    <t>VALOR TOTAL DO EMPREGADO</t>
  </si>
  <si>
    <t>Custos Indiretos, Tributos e Lucro</t>
  </si>
  <si>
    <t>Insumos Diversos</t>
  </si>
  <si>
    <t>Custo de Reposição do Profissional Ausente</t>
  </si>
  <si>
    <t>Encargos e Benefícios Anuais, Mensais e Diários</t>
  </si>
  <si>
    <t>Valor    (R$)</t>
  </si>
  <si>
    <t>Mão-de-obra vinculada à execução contratual (valor por empregado)</t>
  </si>
  <si>
    <t>MÓD.</t>
  </si>
  <si>
    <t>QUADRO RESUMO - CUSTO POR EMPREGADO</t>
  </si>
  <si>
    <t>ISS</t>
  </si>
  <si>
    <t>C.3</t>
  </si>
  <si>
    <t>Cofins</t>
  </si>
  <si>
    <t>C.2</t>
  </si>
  <si>
    <t>PIS</t>
  </si>
  <si>
    <t>C.1</t>
  </si>
  <si>
    <t>Tributos</t>
  </si>
  <si>
    <t>Lucro</t>
  </si>
  <si>
    <t>Custos Indiretos</t>
  </si>
  <si>
    <t>Valor (R$)</t>
  </si>
  <si>
    <t>MÓDULO 6: CUSTOS INDIRETOS, TRIBUTOS E LUCRO</t>
  </si>
  <si>
    <t>Equipamentos</t>
  </si>
  <si>
    <t>Materiais</t>
  </si>
  <si>
    <t>Uniformes</t>
  </si>
  <si>
    <t>MÓDULO 5: INSUMOS DIVERSOS</t>
  </si>
  <si>
    <t>Auxílio-Refeição/Alimentação</t>
  </si>
  <si>
    <t>Transporte</t>
  </si>
  <si>
    <t>Adicional de Insalubridade</t>
  </si>
  <si>
    <t>Adicional de Periculosidade</t>
  </si>
  <si>
    <t>Salário-Base</t>
  </si>
  <si>
    <t>EMPREGADOS POR POSTO</t>
  </si>
  <si>
    <t>PLANILHA DE CUSTOS E FORMAÇÃO DE PREÇOS</t>
  </si>
  <si>
    <t>Data-Base da Categoria (DD/MM/AAAA)</t>
  </si>
  <si>
    <t>Categoria Profissional (vinculada à execução contratual)</t>
  </si>
  <si>
    <t>Classificação Brasileira de Ocupações (CBO)</t>
  </si>
  <si>
    <t>Tipo de Serviço (mesmo serviço com características distintas)</t>
  </si>
  <si>
    <t>CUSTOS POR EMPREGADO</t>
  </si>
  <si>
    <t>Quantidade de Postos</t>
  </si>
  <si>
    <t>Número de Meses de Execução Contratual</t>
  </si>
  <si>
    <t>Acordo, Conv. ou Sentença Normativa em Dissídio Coletivo (MM/AAAA)</t>
  </si>
  <si>
    <t>Local de Execução (Sede, Anexo I ou II, PTM, PRM)</t>
  </si>
  <si>
    <t>Data de Apresentação da Proposta (DD/MM/AAAA)</t>
  </si>
  <si>
    <t>DISCRIMINAÇÃO DOS SERVIÇOS (DADOS REFERENTES À CONTRATAÇÃO)</t>
  </si>
  <si>
    <t>Modalidade de Licitação</t>
  </si>
  <si>
    <t>Nº do Processo</t>
  </si>
  <si>
    <t>Dados referentes à licitação</t>
  </si>
  <si>
    <t>CUSTOS REFERENTES AO POSTO</t>
  </si>
  <si>
    <t>DATA:</t>
  </si>
  <si>
    <t>EPI</t>
  </si>
  <si>
    <t>Tempo de Intervalo para Refeição (em minutos)</t>
  </si>
  <si>
    <t>% / Minutos</t>
  </si>
  <si>
    <t>Substituto na Intrajornada</t>
  </si>
  <si>
    <t>4.2</t>
  </si>
  <si>
    <t>Submódulo 4.2 - Substituto na Intrajornada</t>
  </si>
  <si>
    <t>Outras Ausências (Especificar em %)</t>
  </si>
  <si>
    <t>Hora Extra (em %)</t>
  </si>
  <si>
    <t>Intervalo Intrajornada</t>
  </si>
  <si>
    <t>2.4</t>
  </si>
  <si>
    <t>Submódulo 2.4 - Intervalo Intrajornada</t>
  </si>
  <si>
    <t>Outros Benefícios 3 (Especificar)</t>
  </si>
  <si>
    <t>Outros Benefícios 2 (Especificar)</t>
  </si>
  <si>
    <t>A empresa aderiu ao PAT? Caso positivo, qual o percentual adotado?</t>
  </si>
  <si>
    <t>Diária</t>
  </si>
  <si>
    <t>Valor (R$) / %</t>
  </si>
  <si>
    <t>Frequência / Opção</t>
  </si>
  <si>
    <t>FAP</t>
  </si>
  <si>
    <t>Multiplicador</t>
  </si>
  <si>
    <t>Encargos Previd. (GPS), FGTS e Outras Contribuições</t>
  </si>
  <si>
    <t>Submódulo 2.2 - Encargos Previd. (GPS), FGTS e Outras Contribuições</t>
  </si>
  <si>
    <t>Outras Remunerações 3 (Especificar)</t>
  </si>
  <si>
    <t>Outras Remunerações 2 (Especificar)</t>
  </si>
  <si>
    <t>Outras Remunerações 1 (Especificar)</t>
  </si>
  <si>
    <t>Adicional de Insalubridade (em %)</t>
  </si>
  <si>
    <t>Adicional Noturno (em %)</t>
  </si>
  <si>
    <t>Adicional de Periculosidade (em %)</t>
  </si>
  <si>
    <t>Salário Mínimo vigente no país (em R$)</t>
  </si>
  <si>
    <t>3132-20</t>
  </si>
  <si>
    <t>Mão de obra</t>
  </si>
  <si>
    <t>Qual a base de cálculo do adicional de insalubridade (CCT ou Salário Mínimo)?</t>
  </si>
  <si>
    <t>Qtde Total a Contratar</t>
  </si>
  <si>
    <t>Empregados por Posto</t>
  </si>
  <si>
    <t>Unidade de Medida</t>
  </si>
  <si>
    <t>Tipo de Serviço</t>
  </si>
  <si>
    <t>Item</t>
  </si>
  <si>
    <t>Identificação do serviço</t>
  </si>
  <si>
    <t>717/2025</t>
  </si>
  <si>
    <t>DF</t>
  </si>
  <si>
    <t>Unidade da Federação</t>
  </si>
  <si>
    <t>CNMP</t>
  </si>
  <si>
    <t>XX/XX/20XX</t>
  </si>
  <si>
    <t>Dados referentes à contratação</t>
  </si>
  <si>
    <t>HH:MM</t>
  </si>
  <si>
    <t>Data / Horário</t>
  </si>
  <si>
    <t>XX/20XX</t>
  </si>
  <si>
    <t>Pregão nº</t>
  </si>
  <si>
    <t>Modalidade de Licitação nº (XX/AAAA)</t>
  </si>
  <si>
    <t>19.00.6300.0004747/2025-48</t>
  </si>
  <si>
    <t>Nº do Processo (X.XX.XXX.XXXXXX/XXXX-XX)</t>
  </si>
  <si>
    <t>CUSTOS REFERENTES AOS SERVIÇOS CONTRATADOS</t>
  </si>
  <si>
    <t>UNIDADE GESTORA (SIGLA): CNMP</t>
  </si>
  <si>
    <t>RAMO: CONSELHO NACIONAL DO MINISTÉRIO PÚBLICO</t>
  </si>
  <si>
    <t>Gerente de suporte 
técnico de tecnologia da informação</t>
  </si>
  <si>
    <t>GERENTE DE SUPORTE TÉCNICO DE TECNOLOGIA DA INFORMAÇÃO</t>
  </si>
  <si>
    <t>TÉCNICO DE SUPORTE AO USUÁRIO DE TECNOLOGIA DA INFORMAÇÃO SÊNIOR</t>
  </si>
  <si>
    <t>ANALISTA DE SUPORTE COMPUTACIONAL SÊNIOR</t>
  </si>
  <si>
    <t>TÉCNICO DE SUPORTE AO USUÁRIO DE TECNOLOGIA DA INFORMAÇÃO JÚNIOR</t>
  </si>
  <si>
    <t>TÉCNICO EM MANUTENÇÃO DE EQUIPAMENTOS DE INFORMÁTICA SÊNIOR</t>
  </si>
  <si>
    <t>1425-30</t>
  </si>
  <si>
    <t>3172-10</t>
  </si>
  <si>
    <t>2124-20</t>
  </si>
  <si>
    <t>Outros Benefícios 1 (Auxilio creche - 20% x 526,64)</t>
  </si>
  <si>
    <t>VALOR</t>
  </si>
  <si>
    <t>UNITÁRIO</t>
  </si>
  <si>
    <t>ANUAL</t>
  </si>
  <si>
    <t>GLOBAL</t>
  </si>
  <si>
    <t>MENSAL/TOTAL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</si>
</sst>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&quot;R$&quot;#,##0.00;[Red]\-&quot;R$&quot;#,##0.00"/>
    <numFmt numFmtId="165" formatCode="#,##0.0"/>
    <numFmt numFmtId="166" formatCode="#,##0.00_ ;\-#,##0.00\ "/>
    <numFmt numFmtId="167" formatCode="#,##0.0000;\-#,##0.00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0"/>
      <color rgb="FF000000"/>
      <name val="Segoe UI Light"/>
      <family val="2"/>
    </font>
    <font>
      <sz val="11"/>
      <color theme="1"/>
      <name val="Segoe UI Light"/>
      <family val="2"/>
    </font>
    <font>
      <sz val="10"/>
      <name val="Segoe UI Light"/>
      <family val="2"/>
    </font>
    <font>
      <sz val="11"/>
      <color rgb="FF953734"/>
      <name val="Segoe UI Light"/>
      <family val="2"/>
    </font>
    <font>
      <b/>
      <sz val="14"/>
      <color rgb="FF953734"/>
      <name val="Segoe UI Light"/>
      <family val="2"/>
    </font>
    <font>
      <sz val="11"/>
      <color rgb="FFFF0000"/>
      <name val="Segoe UI Light"/>
      <family val="2"/>
    </font>
    <font>
      <b/>
      <sz val="11"/>
      <color theme="0"/>
      <name val="Segoe UI Light"/>
      <family val="2"/>
    </font>
    <font>
      <sz val="8"/>
      <color theme="1"/>
      <name val="Segoe UI Light"/>
      <family val="2"/>
    </font>
    <font>
      <b/>
      <sz val="11"/>
      <color theme="1"/>
      <name val="Segoe UI Light"/>
      <family val="2"/>
    </font>
    <font>
      <b/>
      <sz val="11"/>
      <color rgb="FF632423"/>
      <name val="Segoe UI Light"/>
      <family val="2"/>
    </font>
    <font>
      <b/>
      <sz val="16"/>
      <color rgb="FF632423"/>
      <name val="Segoe UI Light"/>
      <family val="2"/>
    </font>
    <font>
      <b/>
      <sz val="14"/>
      <color rgb="FF632423"/>
      <name val="Segoe UI Light"/>
      <family val="2"/>
    </font>
    <font>
      <i/>
      <sz val="10"/>
      <color theme="1"/>
      <name val="Segoe UI Light"/>
      <family val="2"/>
    </font>
    <font>
      <i/>
      <sz val="10"/>
      <color theme="0"/>
      <name val="Segoe UI Light"/>
      <family val="2"/>
    </font>
    <font>
      <b/>
      <sz val="16"/>
      <color theme="1"/>
      <name val="Segoe UI Light"/>
      <family val="2"/>
    </font>
    <font>
      <b/>
      <sz val="20"/>
      <color rgb="FF953734"/>
      <name val="Segoe UI Light"/>
      <family val="2"/>
    </font>
    <font>
      <b/>
      <sz val="12"/>
      <color rgb="FF632423"/>
      <name val="Segoe UI Light"/>
      <family val="2"/>
    </font>
    <font>
      <sz val="14"/>
      <color theme="1"/>
      <name val="Segoe UI Light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rgb="FFD55816"/>
        <bgColor rgb="FFD55816"/>
      </patternFill>
    </fill>
    <fill>
      <patternFill patternType="solid">
        <fgColor rgb="FFFBD4B4"/>
        <bgColor rgb="FFFBD4B4"/>
      </patternFill>
    </fill>
    <fill>
      <patternFill patternType="solid">
        <fgColor theme="9"/>
        <bgColor theme="9"/>
      </patternFill>
    </fill>
    <fill>
      <patternFill patternType="solid">
        <fgColor rgb="FFF79646"/>
        <bgColor rgb="FFF79646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/>
      <top/>
      <bottom style="thin">
        <color rgb="FFF2F2F2"/>
      </bottom>
      <diagonal/>
    </border>
    <border>
      <left/>
      <right style="thin">
        <color rgb="FFF2F2F2"/>
      </right>
      <top/>
      <bottom style="thin">
        <color rgb="FFF2F2F2"/>
      </bottom>
      <diagonal/>
    </border>
    <border>
      <left style="thin">
        <color rgb="FFF2F2F2"/>
      </left>
      <right/>
      <top/>
      <bottom style="thin">
        <color rgb="FFF2F2F2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3">
    <xf numFmtId="0" fontId="0" fillId="0" borderId="0"/>
    <xf numFmtId="0" fontId="6" fillId="0" borderId="0"/>
    <xf numFmtId="44" fontId="25" fillId="0" borderId="0" applyFont="0" applyFill="0" applyBorder="0" applyAlignment="0" applyProtection="0"/>
  </cellStyleXfs>
  <cellXfs count="19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164" fontId="4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1" applyFont="1"/>
    <xf numFmtId="0" fontId="8" fillId="2" borderId="0" xfId="1" applyFont="1" applyFill="1"/>
    <xf numFmtId="0" fontId="8" fillId="2" borderId="0" xfId="1" applyFont="1" applyFill="1" applyAlignment="1">
      <alignment horizontal="left" vertical="center" wrapText="1"/>
    </xf>
    <xf numFmtId="3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0" fontId="11" fillId="2" borderId="0" xfId="1" applyFont="1" applyFill="1" applyAlignment="1">
      <alignment horizontal="left" vertical="center"/>
    </xf>
    <xf numFmtId="0" fontId="12" fillId="2" borderId="0" xfId="1" applyFont="1" applyFill="1"/>
    <xf numFmtId="39" fontId="8" fillId="3" borderId="4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5" xfId="1" applyFont="1" applyBorder="1"/>
    <xf numFmtId="0" fontId="9" fillId="0" borderId="6" xfId="1" applyFont="1" applyBorder="1"/>
    <xf numFmtId="0" fontId="13" fillId="4" borderId="4" xfId="1" applyFont="1" applyFill="1" applyBorder="1" applyAlignment="1">
      <alignment horizontal="center" vertical="center" wrapText="1"/>
    </xf>
    <xf numFmtId="0" fontId="14" fillId="2" borderId="0" xfId="1" applyFont="1" applyFill="1"/>
    <xf numFmtId="37" fontId="8" fillId="5" borderId="4" xfId="1" applyNumberFormat="1" applyFont="1" applyFill="1" applyBorder="1" applyAlignment="1" applyProtection="1">
      <alignment horizontal="right" vertical="center" wrapText="1"/>
      <protection locked="0"/>
    </xf>
    <xf numFmtId="37" fontId="8" fillId="3" borderId="4" xfId="1" applyNumberFormat="1" applyFont="1" applyFill="1" applyBorder="1" applyAlignment="1" applyProtection="1">
      <alignment horizontal="right" vertical="center" wrapText="1"/>
      <protection locked="0"/>
    </xf>
    <xf numFmtId="39" fontId="8" fillId="5" borderId="4" xfId="1" applyNumberFormat="1" applyFont="1" applyFill="1" applyBorder="1" applyAlignment="1" applyProtection="1">
      <alignment horizontal="right" vertical="center" wrapText="1"/>
      <protection locked="0"/>
    </xf>
    <xf numFmtId="0" fontId="13" fillId="4" borderId="4" xfId="1" applyFont="1" applyFill="1" applyBorder="1" applyAlignment="1">
      <alignment horizontal="center" vertical="center"/>
    </xf>
    <xf numFmtId="39" fontId="15" fillId="2" borderId="0" xfId="1" applyNumberFormat="1" applyFont="1" applyFill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5" fillId="2" borderId="0" xfId="1" applyFont="1" applyFill="1" applyAlignment="1">
      <alignment horizontal="left" vertical="center" wrapText="1"/>
    </xf>
    <xf numFmtId="0" fontId="16" fillId="2" borderId="0" xfId="1" applyFont="1" applyFill="1" applyAlignment="1">
      <alignment horizontal="left"/>
    </xf>
    <xf numFmtId="0" fontId="8" fillId="5" borderId="4" xfId="1" applyFont="1" applyFill="1" applyBorder="1" applyAlignment="1">
      <alignment horizontal="center"/>
    </xf>
    <xf numFmtId="0" fontId="13" fillId="4" borderId="5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/>
    </xf>
    <xf numFmtId="165" fontId="8" fillId="5" borderId="4" xfId="1" applyNumberFormat="1" applyFont="1" applyFill="1" applyBorder="1" applyAlignment="1" applyProtection="1">
      <alignment horizontal="right" vertical="center" wrapText="1"/>
      <protection locked="0"/>
    </xf>
    <xf numFmtId="3" fontId="8" fillId="3" borderId="4" xfId="1" applyNumberFormat="1" applyFont="1" applyFill="1" applyBorder="1" applyAlignment="1" applyProtection="1">
      <alignment horizontal="right" vertical="center" wrapText="1"/>
      <protection locked="0"/>
    </xf>
    <xf numFmtId="3" fontId="8" fillId="5" borderId="4" xfId="1" applyNumberFormat="1" applyFont="1" applyFill="1" applyBorder="1" applyAlignment="1" applyProtection="1">
      <alignment horizontal="right" vertical="center" wrapText="1"/>
      <protection locked="0"/>
    </xf>
    <xf numFmtId="165" fontId="8" fillId="3" borderId="4" xfId="1" applyNumberFormat="1" applyFont="1" applyFill="1" applyBorder="1" applyAlignment="1" applyProtection="1">
      <alignment horizontal="right" vertical="center" wrapText="1"/>
      <protection locked="0"/>
    </xf>
    <xf numFmtId="39" fontId="8" fillId="2" borderId="0" xfId="1" applyNumberFormat="1" applyFont="1" applyFill="1" applyAlignment="1">
      <alignment horizontal="right"/>
    </xf>
    <xf numFmtId="0" fontId="17" fillId="2" borderId="0" xfId="1" applyFont="1" applyFill="1"/>
    <xf numFmtId="2" fontId="8" fillId="3" borderId="4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2" fontId="8" fillId="5" borderId="4" xfId="1" applyNumberFormat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left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39" fontId="8" fillId="2" borderId="0" xfId="1" applyNumberFormat="1" applyFont="1" applyFill="1" applyAlignment="1">
      <alignment horizontal="center"/>
    </xf>
    <xf numFmtId="39" fontId="13" fillId="4" borderId="4" xfId="1" applyNumberFormat="1" applyFont="1" applyFill="1" applyBorder="1" applyAlignment="1">
      <alignment horizontal="right" vertical="center" wrapText="1"/>
    </xf>
    <xf numFmtId="0" fontId="8" fillId="2" borderId="0" xfId="1" applyFont="1" applyFill="1" applyAlignment="1">
      <alignment wrapText="1"/>
    </xf>
    <xf numFmtId="39" fontId="8" fillId="3" borderId="4" xfId="1" applyNumberFormat="1" applyFont="1" applyFill="1" applyBorder="1" applyAlignment="1">
      <alignment horizontal="right" vertical="center" wrapText="1"/>
    </xf>
    <xf numFmtId="39" fontId="8" fillId="5" borderId="4" xfId="1" applyNumberFormat="1" applyFont="1" applyFill="1" applyBorder="1" applyAlignment="1">
      <alignment horizontal="right" vertical="center" wrapText="1"/>
    </xf>
    <xf numFmtId="0" fontId="12" fillId="2" borderId="0" xfId="1" applyFont="1" applyFill="1" applyAlignment="1">
      <alignment wrapText="1"/>
    </xf>
    <xf numFmtId="0" fontId="12" fillId="2" borderId="0" xfId="1" applyFont="1" applyFill="1" applyAlignment="1">
      <alignment horizontal="center" wrapText="1"/>
    </xf>
    <xf numFmtId="39" fontId="8" fillId="2" borderId="0" xfId="1" applyNumberFormat="1" applyFont="1" applyFill="1" applyAlignment="1">
      <alignment horizontal="center" vertical="center" wrapText="1"/>
    </xf>
    <xf numFmtId="0" fontId="18" fillId="2" borderId="0" xfId="1" applyFont="1" applyFill="1" applyAlignment="1">
      <alignment horizontal="left" vertical="center"/>
    </xf>
    <xf numFmtId="39" fontId="19" fillId="3" borderId="4" xfId="1" applyNumberFormat="1" applyFont="1" applyFill="1" applyBorder="1" applyAlignment="1">
      <alignment horizontal="right" vertical="center" wrapText="1"/>
    </xf>
    <xf numFmtId="39" fontId="19" fillId="3" borderId="4" xfId="1" applyNumberFormat="1" applyFont="1" applyFill="1" applyBorder="1" applyAlignment="1">
      <alignment horizontal="center" vertical="center" wrapText="1"/>
    </xf>
    <xf numFmtId="0" fontId="20" fillId="4" borderId="4" xfId="1" applyFont="1" applyFill="1" applyBorder="1" applyAlignment="1">
      <alignment horizontal="center" vertical="center" wrapText="1"/>
    </xf>
    <xf numFmtId="39" fontId="19" fillId="5" borderId="4" xfId="1" applyNumberFormat="1" applyFont="1" applyFill="1" applyBorder="1" applyAlignment="1">
      <alignment horizontal="right" vertical="center" wrapText="1"/>
    </xf>
    <xf numFmtId="39" fontId="19" fillId="5" borderId="4" xfId="1" applyNumberFormat="1" applyFont="1" applyFill="1" applyBorder="1" applyAlignment="1">
      <alignment horizontal="center" vertical="center" wrapText="1"/>
    </xf>
    <xf numFmtId="39" fontId="8" fillId="5" borderId="4" xfId="1" applyNumberFormat="1" applyFont="1" applyFill="1" applyBorder="1" applyAlignment="1">
      <alignment horizontal="center" vertical="center" wrapText="1"/>
    </xf>
    <xf numFmtId="39" fontId="8" fillId="3" borderId="4" xfId="1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/>
    </xf>
    <xf numFmtId="0" fontId="21" fillId="2" borderId="0" xfId="1" applyFont="1" applyFill="1" applyAlignment="1">
      <alignment horizontal="left" vertical="center"/>
    </xf>
    <xf numFmtId="4" fontId="13" fillId="4" borderId="9" xfId="1" applyNumberFormat="1" applyFont="1" applyFill="1" applyBorder="1" applyAlignment="1">
      <alignment horizontal="right" vertical="center" wrapText="1"/>
    </xf>
    <xf numFmtId="39" fontId="8" fillId="3" borderId="9" xfId="1" applyNumberFormat="1" applyFont="1" applyFill="1" applyBorder="1" applyAlignment="1">
      <alignment horizontal="right" vertical="center" wrapText="1"/>
    </xf>
    <xf numFmtId="0" fontId="13" fillId="4" borderId="9" xfId="1" applyFont="1" applyFill="1" applyBorder="1" applyAlignment="1">
      <alignment horizontal="center"/>
    </xf>
    <xf numFmtId="39" fontId="8" fillId="5" borderId="9" xfId="1" applyNumberFormat="1" applyFont="1" applyFill="1" applyBorder="1" applyAlignment="1">
      <alignment horizontal="right" vertical="center" wrapText="1"/>
    </xf>
    <xf numFmtId="0" fontId="13" fillId="4" borderId="9" xfId="1" applyFont="1" applyFill="1" applyBorder="1" applyAlignment="1">
      <alignment horizontal="center" vertical="center" wrapText="1"/>
    </xf>
    <xf numFmtId="0" fontId="13" fillId="4" borderId="9" xfId="1" applyFont="1" applyFill="1" applyBorder="1" applyAlignment="1">
      <alignment horizontal="center" vertical="center"/>
    </xf>
    <xf numFmtId="4" fontId="13" fillId="4" borderId="4" xfId="1" applyNumberFormat="1" applyFont="1" applyFill="1" applyBorder="1" applyAlignment="1">
      <alignment horizontal="right"/>
    </xf>
    <xf numFmtId="166" fontId="8" fillId="3" borderId="4" xfId="1" applyNumberFormat="1" applyFont="1" applyFill="1" applyBorder="1" applyAlignment="1">
      <alignment horizontal="center" vertical="center" wrapText="1"/>
    </xf>
    <xf numFmtId="4" fontId="13" fillId="4" borderId="4" xfId="1" applyNumberFormat="1" applyFont="1" applyFill="1" applyBorder="1" applyAlignment="1">
      <alignment horizontal="right" vertical="center" wrapText="1"/>
    </xf>
    <xf numFmtId="0" fontId="13" fillId="4" borderId="4" xfId="1" applyFont="1" applyFill="1" applyBorder="1" applyAlignment="1">
      <alignment horizontal="center"/>
    </xf>
    <xf numFmtId="4" fontId="13" fillId="4" borderId="4" xfId="1" applyNumberFormat="1" applyFont="1" applyFill="1" applyBorder="1" applyAlignment="1">
      <alignment horizontal="right" vertical="center"/>
    </xf>
    <xf numFmtId="4" fontId="8" fillId="3" borderId="4" xfId="1" applyNumberFormat="1" applyFont="1" applyFill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right" vertical="center" wrapText="1"/>
    </xf>
    <xf numFmtId="37" fontId="8" fillId="5" borderId="4" xfId="1" applyNumberFormat="1" applyFont="1" applyFill="1" applyBorder="1" applyAlignment="1">
      <alignment horizontal="center"/>
    </xf>
    <xf numFmtId="0" fontId="10" fillId="2" borderId="0" xfId="1" applyFont="1" applyFill="1"/>
    <xf numFmtId="14" fontId="8" fillId="3" borderId="4" xfId="1" applyNumberFormat="1" applyFont="1" applyFill="1" applyBorder="1" applyAlignment="1">
      <alignment horizontal="center"/>
    </xf>
    <xf numFmtId="0" fontId="8" fillId="5" borderId="4" xfId="1" applyFont="1" applyFill="1" applyBorder="1"/>
    <xf numFmtId="0" fontId="8" fillId="3" borderId="4" xfId="1" applyFont="1" applyFill="1" applyBorder="1"/>
    <xf numFmtId="0" fontId="14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17" fillId="2" borderId="0" xfId="1" applyFont="1" applyFill="1" applyAlignment="1">
      <alignment vertical="center"/>
    </xf>
    <xf numFmtId="2" fontId="8" fillId="5" borderId="4" xfId="1" applyNumberFormat="1" applyFont="1" applyFill="1" applyBorder="1" applyAlignment="1">
      <alignment horizontal="center"/>
    </xf>
    <xf numFmtId="14" fontId="8" fillId="5" borderId="4" xfId="1" applyNumberFormat="1" applyFont="1" applyFill="1" applyBorder="1" applyAlignment="1">
      <alignment horizontal="center"/>
    </xf>
    <xf numFmtId="49" fontId="8" fillId="3" borderId="4" xfId="1" applyNumberFormat="1" applyFont="1" applyFill="1" applyBorder="1" applyAlignment="1">
      <alignment horizontal="center"/>
    </xf>
    <xf numFmtId="14" fontId="24" fillId="3" borderId="7" xfId="1" applyNumberFormat="1" applyFont="1" applyFill="1" applyBorder="1"/>
    <xf numFmtId="14" fontId="24" fillId="3" borderId="7" xfId="1" applyNumberFormat="1" applyFont="1" applyFill="1" applyBorder="1" applyAlignment="1">
      <alignment horizontal="right"/>
    </xf>
    <xf numFmtId="39" fontId="8" fillId="6" borderId="4" xfId="1" applyNumberFormat="1" applyFont="1" applyFill="1" applyBorder="1" applyAlignment="1" applyProtection="1">
      <alignment vertical="center" wrapText="1"/>
      <protection locked="0"/>
    </xf>
    <xf numFmtId="4" fontId="8" fillId="6" borderId="4" xfId="1" applyNumberFormat="1" applyFont="1" applyFill="1" applyBorder="1" applyAlignment="1" applyProtection="1">
      <alignment horizontal="right" vertical="center" wrapText="1"/>
      <protection locked="0"/>
    </xf>
    <xf numFmtId="39" fontId="8" fillId="6" borderId="9" xfId="1" applyNumberFormat="1" applyFont="1" applyFill="1" applyBorder="1" applyAlignment="1" applyProtection="1">
      <alignment horizontal="right" vertical="center" wrapText="1"/>
      <protection locked="0"/>
    </xf>
    <xf numFmtId="3" fontId="8" fillId="6" borderId="4" xfId="1" applyNumberFormat="1" applyFont="1" applyFill="1" applyBorder="1" applyAlignment="1" applyProtection="1">
      <alignment horizontal="right" vertical="center" wrapText="1"/>
      <protection locked="0"/>
    </xf>
    <xf numFmtId="39" fontId="8" fillId="6" borderId="4" xfId="1" applyNumberFormat="1" applyFont="1" applyFill="1" applyBorder="1" applyAlignment="1" applyProtection="1">
      <alignment horizontal="right" vertical="center" wrapText="1"/>
      <protection locked="0"/>
    </xf>
    <xf numFmtId="39" fontId="8" fillId="6" borderId="4" xfId="1" applyNumberFormat="1" applyFont="1" applyFill="1" applyBorder="1" applyAlignment="1" applyProtection="1">
      <alignment horizontal="center" vertical="center" wrapText="1"/>
      <protection locked="0"/>
    </xf>
    <xf numFmtId="1" fontId="8" fillId="6" borderId="4" xfId="1" applyNumberFormat="1" applyFont="1" applyFill="1" applyBorder="1" applyAlignment="1" applyProtection="1">
      <alignment horizontal="right" vertical="center" wrapText="1"/>
      <protection locked="0"/>
    </xf>
    <xf numFmtId="37" fontId="8" fillId="6" borderId="4" xfId="1" applyNumberFormat="1" applyFont="1" applyFill="1" applyBorder="1" applyAlignment="1" applyProtection="1">
      <alignment horizontal="center" vertical="center" wrapText="1"/>
      <protection locked="0"/>
    </xf>
    <xf numFmtId="39" fontId="8" fillId="7" borderId="4" xfId="1" applyNumberFormat="1" applyFont="1" applyFill="1" applyBorder="1" applyAlignment="1" applyProtection="1">
      <alignment horizontal="right" vertical="center" wrapText="1"/>
      <protection locked="0"/>
    </xf>
    <xf numFmtId="167" fontId="8" fillId="7" borderId="4" xfId="1" applyNumberFormat="1" applyFont="1" applyFill="1" applyBorder="1" applyAlignment="1" applyProtection="1">
      <alignment horizontal="center" vertical="center" wrapText="1"/>
      <protection locked="0"/>
    </xf>
    <xf numFmtId="14" fontId="8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left"/>
    </xf>
    <xf numFmtId="0" fontId="13" fillId="2" borderId="0" xfId="1" applyFont="1" applyFill="1" applyAlignment="1">
      <alignment horizontal="center"/>
    </xf>
    <xf numFmtId="4" fontId="8" fillId="6" borderId="4" xfId="1" applyNumberFormat="1" applyFont="1" applyFill="1" applyBorder="1" applyAlignment="1" applyProtection="1">
      <alignment horizontal="right"/>
      <protection locked="0"/>
    </xf>
    <xf numFmtId="14" fontId="8" fillId="6" borderId="4" xfId="1" applyNumberFormat="1" applyFont="1" applyFill="1" applyBorder="1" applyAlignment="1" applyProtection="1">
      <alignment horizontal="center"/>
      <protection locked="0"/>
    </xf>
    <xf numFmtId="4" fontId="8" fillId="6" borderId="0" xfId="1" applyNumberFormat="1" applyFont="1" applyFill="1" applyAlignment="1" applyProtection="1">
      <alignment horizontal="center" vertical="center" wrapText="1"/>
      <protection locked="0"/>
    </xf>
    <xf numFmtId="0" fontId="8" fillId="6" borderId="7" xfId="1" applyFont="1" applyFill="1" applyBorder="1" applyAlignment="1" applyProtection="1">
      <alignment horizontal="center" vertical="center" wrapText="1"/>
      <protection locked="0"/>
    </xf>
    <xf numFmtId="0" fontId="8" fillId="6" borderId="4" xfId="1" applyFont="1" applyFill="1" applyBorder="1" applyAlignment="1" applyProtection="1">
      <alignment horizontal="center" vertical="center" wrapText="1"/>
      <protection locked="0"/>
    </xf>
    <xf numFmtId="49" fontId="8" fillId="6" borderId="7" xfId="1" applyNumberFormat="1" applyFont="1" applyFill="1" applyBorder="1" applyAlignment="1" applyProtection="1">
      <alignment horizontal="left" vertical="center" wrapText="1"/>
      <protection locked="0"/>
    </xf>
    <xf numFmtId="0" fontId="14" fillId="2" borderId="0" xfId="1" applyFont="1" applyFill="1" applyAlignment="1">
      <alignment horizontal="center" vertical="center"/>
    </xf>
    <xf numFmtId="0" fontId="13" fillId="4" borderId="7" xfId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/>
    </xf>
    <xf numFmtId="49" fontId="8" fillId="8" borderId="0" xfId="1" applyNumberFormat="1" applyFont="1" applyFill="1" applyAlignment="1">
      <alignment horizontal="center"/>
    </xf>
    <xf numFmtId="0" fontId="15" fillId="8" borderId="0" xfId="1" applyFont="1" applyFill="1" applyAlignment="1">
      <alignment horizontal="left"/>
    </xf>
    <xf numFmtId="0" fontId="15" fillId="8" borderId="0" xfId="1" applyFont="1" applyFill="1"/>
    <xf numFmtId="49" fontId="8" fillId="6" borderId="4" xfId="1" applyNumberFormat="1" applyFont="1" applyFill="1" applyBorder="1" applyAlignment="1" applyProtection="1">
      <alignment horizontal="center"/>
      <protection locked="0"/>
    </xf>
    <xf numFmtId="0" fontId="8" fillId="6" borderId="4" xfId="1" applyFont="1" applyFill="1" applyBorder="1" applyAlignment="1" applyProtection="1">
      <alignment horizontal="center" vertical="center"/>
      <protection locked="0"/>
    </xf>
    <xf numFmtId="14" fontId="24" fillId="6" borderId="7" xfId="1" applyNumberFormat="1" applyFont="1" applyFill="1" applyBorder="1" applyProtection="1">
      <protection locked="0"/>
    </xf>
    <xf numFmtId="0" fontId="24" fillId="3" borderId="7" xfId="1" applyFont="1" applyFill="1" applyBorder="1" applyAlignment="1">
      <alignment horizontal="right"/>
    </xf>
    <xf numFmtId="0" fontId="13" fillId="4" borderId="8" xfId="1" applyFont="1" applyFill="1" applyBorder="1" applyAlignment="1">
      <alignment horizontal="center"/>
    </xf>
    <xf numFmtId="49" fontId="8" fillId="6" borderId="8" xfId="1" applyNumberFormat="1" applyFont="1" applyFill="1" applyBorder="1" applyAlignment="1" applyProtection="1">
      <alignment horizontal="left" vertical="center" wrapText="1"/>
      <protection locked="0"/>
    </xf>
    <xf numFmtId="0" fontId="8" fillId="6" borderId="8" xfId="1" applyFont="1" applyFill="1" applyBorder="1" applyAlignment="1" applyProtection="1">
      <alignment horizontal="center" vertical="center" wrapText="1"/>
      <protection locked="0"/>
    </xf>
    <xf numFmtId="0" fontId="8" fillId="6" borderId="0" xfId="1" applyFont="1" applyFill="1" applyAlignment="1" applyProtection="1">
      <alignment horizontal="center" vertical="center" wrapText="1"/>
      <protection locked="0"/>
    </xf>
    <xf numFmtId="0" fontId="8" fillId="6" borderId="7" xfId="1" applyFont="1" applyFill="1" applyBorder="1" applyProtection="1">
      <protection locked="0"/>
    </xf>
    <xf numFmtId="0" fontId="8" fillId="5" borderId="7" xfId="1" applyFont="1" applyFill="1" applyBorder="1"/>
    <xf numFmtId="166" fontId="8" fillId="2" borderId="0" xfId="1" applyNumberFormat="1" applyFont="1" applyFill="1"/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4" fontId="4" fillId="0" borderId="3" xfId="2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3" borderId="7" xfId="1" applyFont="1" applyFill="1" applyBorder="1" applyAlignment="1">
      <alignment horizontal="left" vertical="center" wrapText="1"/>
    </xf>
    <xf numFmtId="0" fontId="9" fillId="0" borderId="6" xfId="1" applyFont="1" applyBorder="1"/>
    <xf numFmtId="0" fontId="9" fillId="0" borderId="5" xfId="1" applyFont="1" applyBorder="1"/>
    <xf numFmtId="0" fontId="13" fillId="4" borderId="7" xfId="1" applyFont="1" applyFill="1" applyBorder="1" applyAlignment="1">
      <alignment horizontal="left" vertical="center"/>
    </xf>
    <xf numFmtId="0" fontId="8" fillId="5" borderId="7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9" fillId="0" borderId="0" xfId="1" applyFont="1"/>
    <xf numFmtId="0" fontId="8" fillId="3" borderId="7" xfId="1" applyFont="1" applyFill="1" applyBorder="1" applyAlignment="1">
      <alignment horizontal="left" vertical="center"/>
    </xf>
    <xf numFmtId="0" fontId="13" fillId="4" borderId="7" xfId="1" applyFont="1" applyFill="1" applyBorder="1" applyAlignment="1">
      <alignment horizontal="left" vertical="center" wrapText="1"/>
    </xf>
    <xf numFmtId="0" fontId="8" fillId="5" borderId="7" xfId="1" applyFont="1" applyFill="1" applyBorder="1" applyAlignment="1">
      <alignment horizontal="left"/>
    </xf>
    <xf numFmtId="39" fontId="8" fillId="3" borderId="7" xfId="1" applyNumberFormat="1" applyFont="1" applyFill="1" applyBorder="1" applyAlignment="1">
      <alignment horizontal="left" vertical="center" wrapText="1"/>
    </xf>
    <xf numFmtId="0" fontId="8" fillId="3" borderId="7" xfId="1" applyFont="1" applyFill="1" applyBorder="1" applyAlignment="1">
      <alignment horizontal="left"/>
    </xf>
    <xf numFmtId="4" fontId="8" fillId="3" borderId="7" xfId="1" applyNumberFormat="1" applyFont="1" applyFill="1" applyBorder="1" applyAlignment="1">
      <alignment horizontal="left" vertical="center" wrapText="1"/>
    </xf>
    <xf numFmtId="0" fontId="8" fillId="5" borderId="7" xfId="1" applyFont="1" applyFill="1" applyBorder="1" applyAlignment="1">
      <alignment horizontal="left" vertical="center"/>
    </xf>
    <xf numFmtId="0" fontId="16" fillId="2" borderId="8" xfId="1" applyFont="1" applyFill="1" applyBorder="1" applyAlignment="1">
      <alignment horizontal="left" vertical="center" wrapText="1"/>
    </xf>
    <xf numFmtId="0" fontId="9" fillId="0" borderId="8" xfId="1" applyFont="1" applyBorder="1"/>
    <xf numFmtId="0" fontId="13" fillId="4" borderId="16" xfId="1" applyFont="1" applyFill="1" applyBorder="1" applyAlignment="1">
      <alignment horizontal="center" vertical="center"/>
    </xf>
    <xf numFmtId="0" fontId="13" fillId="4" borderId="17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8" fillId="5" borderId="7" xfId="1" applyFont="1" applyFill="1" applyBorder="1"/>
    <xf numFmtId="0" fontId="8" fillId="3" borderId="7" xfId="1" applyFont="1" applyFill="1" applyBorder="1"/>
    <xf numFmtId="0" fontId="8" fillId="3" borderId="6" xfId="1" applyFont="1" applyFill="1" applyBorder="1"/>
    <xf numFmtId="0" fontId="8" fillId="3" borderId="5" xfId="1" applyFont="1" applyFill="1" applyBorder="1"/>
    <xf numFmtId="49" fontId="8" fillId="5" borderId="7" xfId="1" applyNumberFormat="1" applyFont="1" applyFill="1" applyBorder="1" applyAlignment="1">
      <alignment horizontal="left"/>
    </xf>
    <xf numFmtId="49" fontId="8" fillId="5" borderId="6" xfId="1" applyNumberFormat="1" applyFont="1" applyFill="1" applyBorder="1" applyAlignment="1">
      <alignment horizontal="left"/>
    </xf>
    <xf numFmtId="49" fontId="8" fillId="5" borderId="5" xfId="1" applyNumberFormat="1" applyFont="1" applyFill="1" applyBorder="1" applyAlignment="1">
      <alignment horizontal="left"/>
    </xf>
    <xf numFmtId="39" fontId="8" fillId="6" borderId="7" xfId="1" applyNumberFormat="1" applyFont="1" applyFill="1" applyBorder="1" applyAlignment="1" applyProtection="1">
      <alignment horizontal="left" vertical="center" wrapText="1"/>
      <protection locked="0"/>
    </xf>
    <xf numFmtId="0" fontId="9" fillId="0" borderId="5" xfId="1" applyFont="1" applyBorder="1" applyProtection="1">
      <protection locked="0"/>
    </xf>
    <xf numFmtId="0" fontId="13" fillId="4" borderId="12" xfId="1" applyFont="1" applyFill="1" applyBorder="1" applyAlignment="1">
      <alignment horizontal="left" vertical="center" wrapText="1"/>
    </xf>
    <xf numFmtId="0" fontId="9" fillId="0" borderId="11" xfId="1" applyFont="1" applyBorder="1"/>
    <xf numFmtId="0" fontId="9" fillId="0" borderId="10" xfId="1" applyFont="1" applyBorder="1"/>
    <xf numFmtId="0" fontId="8" fillId="5" borderId="12" xfId="1" applyFont="1" applyFill="1" applyBorder="1" applyAlignment="1">
      <alignment horizontal="left" vertical="center" wrapText="1"/>
    </xf>
    <xf numFmtId="39" fontId="8" fillId="5" borderId="7" xfId="1" applyNumberFormat="1" applyFont="1" applyFill="1" applyBorder="1" applyAlignment="1">
      <alignment horizontal="left" vertical="center" wrapText="1"/>
    </xf>
    <xf numFmtId="4" fontId="8" fillId="7" borderId="7" xfId="1" applyNumberFormat="1" applyFont="1" applyFill="1" applyBorder="1" applyAlignment="1" applyProtection="1">
      <alignment horizontal="left" vertical="center" wrapText="1"/>
      <protection locked="0"/>
    </xf>
    <xf numFmtId="0" fontId="9" fillId="0" borderId="6" xfId="1" applyFont="1" applyBorder="1" applyProtection="1">
      <protection locked="0"/>
    </xf>
    <xf numFmtId="0" fontId="13" fillId="4" borderId="6" xfId="1" applyFont="1" applyFill="1" applyBorder="1" applyAlignment="1">
      <alignment horizontal="left"/>
    </xf>
    <xf numFmtId="0" fontId="13" fillId="4" borderId="8" xfId="1" applyFont="1" applyFill="1" applyBorder="1" applyAlignment="1">
      <alignment horizontal="left"/>
    </xf>
    <xf numFmtId="0" fontId="13" fillId="4" borderId="15" xfId="1" applyFont="1" applyFill="1" applyBorder="1" applyAlignment="1">
      <alignment horizontal="left"/>
    </xf>
    <xf numFmtId="0" fontId="9" fillId="0" borderId="13" xfId="1" applyFont="1" applyBorder="1"/>
    <xf numFmtId="0" fontId="9" fillId="0" borderId="14" xfId="1" applyFont="1" applyBorder="1"/>
    <xf numFmtId="49" fontId="8" fillId="6" borderId="7" xfId="1" applyNumberFormat="1" applyFont="1" applyFill="1" applyBorder="1" applyAlignment="1" applyProtection="1">
      <alignment horizontal="center"/>
      <protection locked="0"/>
    </xf>
    <xf numFmtId="0" fontId="8" fillId="6" borderId="7" xfId="1" applyFont="1" applyFill="1" applyBorder="1" applyAlignment="1" applyProtection="1">
      <alignment horizontal="left" vertical="center"/>
      <protection locked="0"/>
    </xf>
    <xf numFmtId="0" fontId="8" fillId="6" borderId="7" xfId="1" applyFont="1" applyFill="1" applyBorder="1" applyAlignment="1" applyProtection="1">
      <alignment horizontal="right"/>
      <protection locked="0"/>
    </xf>
    <xf numFmtId="0" fontId="24" fillId="6" borderId="7" xfId="1" applyFont="1" applyFill="1" applyBorder="1" applyAlignment="1" applyProtection="1">
      <alignment horizontal="left"/>
      <protection locked="0"/>
    </xf>
    <xf numFmtId="0" fontId="17" fillId="2" borderId="0" xfId="1" applyFont="1" applyFill="1" applyAlignment="1">
      <alignment horizontal="center"/>
    </xf>
    <xf numFmtId="0" fontId="8" fillId="6" borderId="7" xfId="1" applyFont="1" applyFill="1" applyBorder="1" applyAlignment="1" applyProtection="1">
      <alignment horizontal="center"/>
      <protection locked="0"/>
    </xf>
    <xf numFmtId="0" fontId="8" fillId="3" borderId="12" xfId="1" applyFont="1" applyFill="1" applyBorder="1" applyAlignment="1">
      <alignment horizontal="left" vertical="center" wrapText="1"/>
    </xf>
    <xf numFmtId="0" fontId="16" fillId="2" borderId="0" xfId="1" applyFont="1" applyFill="1" applyAlignment="1">
      <alignment horizontal="left" wrapText="1"/>
    </xf>
    <xf numFmtId="4" fontId="8" fillId="3" borderId="12" xfId="1" applyNumberFormat="1" applyFont="1" applyFill="1" applyBorder="1" applyAlignment="1">
      <alignment horizontal="left" vertical="center" wrapText="1"/>
    </xf>
    <xf numFmtId="0" fontId="16" fillId="2" borderId="0" xfId="1" applyFont="1" applyFill="1" applyAlignment="1">
      <alignment horizontal="left" vertical="center" wrapText="1"/>
    </xf>
    <xf numFmtId="0" fontId="8" fillId="5" borderId="7" xfId="1" applyFont="1" applyFill="1" applyBorder="1" applyAlignment="1">
      <alignment horizontal="center"/>
    </xf>
    <xf numFmtId="0" fontId="22" fillId="2" borderId="13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/>
    </xf>
    <xf numFmtId="0" fontId="8" fillId="3" borderId="7" xfId="1" applyFont="1" applyFill="1" applyBorder="1" applyAlignment="1">
      <alignment horizontal="right"/>
    </xf>
    <xf numFmtId="0" fontId="23" fillId="0" borderId="0" xfId="1" applyFont="1" applyAlignment="1">
      <alignment horizontal="center"/>
    </xf>
    <xf numFmtId="0" fontId="7" fillId="0" borderId="0" xfId="1" applyFont="1"/>
    <xf numFmtId="0" fontId="9" fillId="0" borderId="5" xfId="1" applyFont="1" applyBorder="1" applyAlignment="1">
      <alignment horizontal="left"/>
    </xf>
    <xf numFmtId="0" fontId="24" fillId="5" borderId="7" xfId="1" applyFont="1" applyFill="1" applyBorder="1" applyAlignment="1">
      <alignment horizontal="left"/>
    </xf>
    <xf numFmtId="0" fontId="24" fillId="3" borderId="7" xfId="1" applyFont="1" applyFill="1" applyBorder="1" applyAlignment="1">
      <alignment horizontal="left"/>
    </xf>
    <xf numFmtId="0" fontId="19" fillId="3" borderId="7" xfId="1" applyFont="1" applyFill="1" applyBorder="1" applyAlignment="1">
      <alignment horizontal="left" vertical="center" wrapText="1"/>
    </xf>
    <xf numFmtId="0" fontId="19" fillId="5" borderId="7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/>
    </xf>
  </cellXfs>
  <cellStyles count="3">
    <cellStyle name="Moeda" xfId="2" builtinId="4"/>
    <cellStyle name="Normal" xfId="0" builtinId="0"/>
    <cellStyle name="Normal 2" xfId="1" xr:uid="{23135CAE-7F58-4BBA-8B0C-0D6945939416}"/>
  </cellStyles>
  <dxfs count="5"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121920</xdr:rowOff>
    </xdr:to>
    <xdr:sp macro="" textlink="">
      <xdr:nvSpPr>
        <xdr:cNvPr id="1025" name="AutoShape 1" descr="data:image/jpeg;base64,/9j/4AAQSkZJRgABAgAAZABkAAD/7AARRHVja3kAAQAEAAAAZAAA/+ED9Gh0dHA6Ly9ucy5hZG9iZS5jb20veGFwLzEuMC8APD94cGFja2V0IGJlZ2luPSLvu78iIGlkPSJXNU0wTXBDZWhpSHpyZVN6TlRjemtjOWQiPz4gPHg6eG1wbWV0YSB4bWxuczp4PSJhZG9iZTpuczptZXRhLyIgeDp4bXB0az0iQWRvYmUgWE1QIENvcmUgNS4wLWMwNjEgNjQuMTQwOTQ5LCAyMDEwLzEyLzA3LTEwOjU3OjAxICAgICAgICAiPiA8cmRmOlJERiB4bWxuczpyZGY9Imh0dHA6Ly93d3cudzMub3JnLzE5OTkvMDIvMjItcmRmLXN5bnRheC1ucyMiPiA8cmRmOkRlc2NyaXB0aW9uIHJkZjphYm91dD0iIiB4bWxuczp4bXBNTT0iaHR0cDovL25zLmFkb2JlLmNvbS94YXAvMS4wL21tLyIgeG1sbnM6c3RSZWY9Imh0dHA6Ly9ucy5hZG9iZS5jb20veGFwLzEuMC9zVHlwZS9SZXNvdXJjZVJlZiMiIHhtbG5zOnhtcD0iaHR0cDovL25zLmFkb2JlLmNvbS94YXAvMS4wLyIgeG1sbnM6ZGM9Imh0dHA6Ly9wdXJsLm9yZy9kYy9lbGVtZW50cy8xLjEvIiB4bXBNTTpPcmlnaW5hbERvY3VtZW50SUQ9InV1aWQ6NUQyMDg5MjQ5M0JGREIxMTkxNEE4NTkwRDMxNTA4QzgiIHhtcE1NOkRvY3VtZW50SUQ9InhtcC5kaWQ6Nzc1QkVENTNFQjM2MTFFMjg3QThCREZDMkMzQThBNkMiIHhtcE1NOkluc3RhbmNlSUQ9InhtcC5paWQ6Nzc1QkVENTJFQjM2MTFFMjg3QThCREZDMkMzQThBNkMiIHhtcDpDcmVhdG9yVG9vbD0iQWRvYmUgSWxsdXN0cmF0b3IgQ1M1Ij4gPHhtcE1NOkRlcml2ZWRGcm9tIHN0UmVmOmluc3RhbmNlSUQ9InhtcC5paWQ6MDZDMDIwOTYxNzIwNjgxMTgwODNBNUYyNkU2REM4QTkiIHN0UmVmOmRvY3VtZW50SUQ9InhtcC5kaWQ6MDZDMDIwOTYxNzIwNjgxMTgwODNBNUYyNkU2REM4QTkiLz4gPGRjOnRpdGxlPiA8cmRmOkFsdD4gPHJkZjpsaSB4bWw6bGFuZz0ieC1kZWZhdWx0Ij5DTk1QX2Nvcl9wb3NpdGl2YTwvcmRmOmxpPiA8L3JkZjpBbHQ+IDwvZGM6dGl0bGU+IDwvcmRmOkRlc2NyaXB0aW9uPiA8L3JkZjpSREY+IDwveDp4bXBtZXRhPiA8P3hwYWNrZXQgZW5kPSJyIj8+/+0ASFBob3Rvc2hvcCAzLjAAOEJJTQQEAAAAAAAPHAFaAAMbJUccAgAAAgACADhCSU0EJQAAAAAAEPzhH4nIt8l4LzRiNAdYd+v/7gAmQWRvYmUAZMAAAAABAwAVBAMGCg0AAAzIAAAf5gAAJ9IAADCX/9sAhAABAQEBAQEBAQEBAQEBAQEBAQEBAQEBAQEBAQEBAQEBAQEBAQEBAQEBAQEBAgICAgICAgICAgIDAwMDAwMDAwMDAQEBAQEBAQIBAQICAgECAgMDAwMDAwMDAwMDAwMDAwMDAwMDAwMDAwMDAwMDAwMDAwMDAwMDAwMDAwMDAwMDAwP/wgARCABTAMYDAREAAhEBAxEB/8QBFQABAAEFAQEBAQAAAAAAAAAAAAgFBgcJCgQDAQIBAQACAgMBAAAAAAAAAAAAAAABBgQFAwcIAhAAAAUDAAYIBgIDAAAAAAAAAgMEBQYAAQcgMBMzNBURIxQWNjcIGBBAUDESNSEyQSIXEQABBAECAwMEDgkCBwEAAAADAQIEBQYREgATFCEiFTEydQcQQVGRQiMzJNUWNrbWNyBAYVKzlbV2lzBDUHGBYoJTNBcSAAECAgMIDgkEAwAAAAAAAAEAAhEDITESEEBBUXGhcgTwYYGRscHRIjKy0hMzsyDhQpLiI3OTNFBSFAVigkMTAQEAAgECAwgDAQEAAAAAAAERACExQVEQYXEgMEDwgZGhscHR8VDh/9oADAMBAAIRAxEAAAHf4R2wrBFfW2nGfHsgALu5MTZDu+uru5MQAAAAAACx+LN5NevfVWaOTTxtx7EAAJ77eidGt088gAAAAAAYCwt9zxUn0DsT2/XsQdbbsVcW0AAynkazpHvfnMAAAAAACM2DZOWyhenZOZNb8U/f144zty6PGEbK1uPKjbw2LM2Tp+nfsHytgqIrZ5z+S8j5F7zOT5AAARmwbJy2UL07JLIrsrs6ra0tT2PIfmr0ttjVIk4FrjLj2XM2Tp+pHsHytHCItIqhi2GQ5fpnmWcpkAACM2DZOWyhenZJZFdqE8eyfa9c6+9RfpcZ9TufKxY56+xYlja9Bt781au/hKaVSPMWmUU2S/c60PiJaykj9SABGbBsnLZQvTsksiu2nOVtW2fV2urUdhTN2VOu3OxI7aqw4hjbdE1781YHiLhKsXLM2rEeiWRk4MiPkSfma7IARmwbJy2UL07JLIrtRjjytyarxfXJKjKrFbyMfTJX+4spZWr6Y+wfKuqf4VguEx6e4qKKomY30jpC3YeI+R6Dad9zRuHZcmPXvquQPNoY249iAAEyNlUOmS8+bQAAAAAABCLVXWK2stGI+LbAAXJyY212wdWZhydQAAAAAAAAAAAAAAAAAAAP/9oACAEBAAEFAqnWUohj0uP+pNtkr37tG+vdo317tG+vdo317tG+mr1VxVSexvzPJW3XyV7JjUee3pykTtiXxxpenmarI3OtflIlCfj7kGMa9P0ZxhZ6mkUw8hkXIMY1yDGNcgxjXIMY1yDGNQZkx2VNtfmTyvrD55yeeYtx+fkeUrH3H5D6yRvHFsnZRx9bHEqyORGEKusc+YU0kgIhE0RGReV2y2xdlOzHFy2k/LjalMMyK1ksrvklnYlzBKkj8r08yeV9Yl8cel5QlFIFiRQ3q4W2rWt6xg8N+UYflluVM8orHPmFI2htf2FJEJKWyHYpf17KfiVQUtJwS5FXdcazVwZVuGihucZi7g3venmTyvrEvjjDjsQ15CzemZiI7jGSOqqbZebYdjxlj4GLKGOcUpIBkl1Rxc2F5vyEnIVQMsgMban7Mxcfmj3IsktLEHIcpNaYjlOUvK//ALW7OkavcwxOdmGYRyLsz9IUk10cyeV9Yl8cY58wsOrCMgY+QpD4dDfUZ4LwoVt8BYqUQfGjuhk50zzdMrtFosY8YvcsbtMLgkoj9sTwXsl8fRG7g5wbHKFucsUwZ2s0RZmYkTnEsc4/jcEc4FztE5trlo5k8r6xL44xAyKHKdQhyU4py9mV5KnWQvUAhC5wzFCK7fhJYjUt6nHPmFkNQUmghzUvSIXApud035O5sibm9M4x6SR5EncW4SkEparpLR6eDdf+GySBnL8fTApnWusCfe775EzUHalgEhaDpeO70zYryeJq0ilAqxL440sERZVJcjfIZLwZHMhnw704SWMST2pTGvalMa9qUxr2pTGvalMabPSe9CUwqCx2AtP0j//aAAgBAgABBQKjTyya7da9cwtXMLVzC1cwtXMLUFeXQRBHbXjF+ABCuMRf30kZtwG69R0bHqqRgIuYMJARdVXVV1VdVXVUVstrr1O4or+xJVzjPyDQLFbY8q5QjOiwqJ33x6dYp3FF/dH/ACZRf9yb2OAba9jKJ32h0fDo1KncUX9yd8qsWIAL/wC6gBJYQFgPJThKMGEFy1Pw6dDp+HTpqdxRf3J3yPrk1v4Cq3abg04iyxgHcxTr1O4ov7lb1OPYHKRgEcquHZpzAdkonfaj/GkYH8y726Ll/fSSAuM75A9KA6goRhvy8yuXmVy8yuXmVy8yrN4qKKAUH6R//9oACAEDAAEFAqQtitwufHDE5PdQyu6hld1DK7qGV3UMo2LKg2OINTGa9MTdQeSSWnKdeC0pAjCoRa9suOy/buVP6ly2KNU7jT7dyrbuVbdyrbuVbdypac4XRa9n/Z07WsJE5r7NyUBK+5Jyhx5a2L+Ypm4SkYacOA17P+zp14KTWF2cAgmBWGANJciRtitqMCampw4DXs/7OnXgncq5iBlEddQ5Jygo2kxWvOUbZscXQS9uKGpssZdez/s6deCcOAdwXQLxisrWR7jXm/Q/OgVriUNNZGy69n/Z068E7HWAiWlhdGlnJuiQMIrlrHUW0egiCMLhwGvRn9mVBEEYXXgtJ8UhTt3yDa9qG+yuRJlKfvSkrvSkrvSkrvSkrvSkoyVE/isWqF5v0j//2gAIAQICBj8CXOrVDcBzUro510c66OddHOujnXOBCtNpF4F+JWnVo6LuqfTs+y68HRqgq3bw7SjEl2IiHKoNcS3JxxEVW7eHaVbt4dpVu3h2lW7eHaVbt4dpNgXRtDAO1eDslyOGy7qlWAqBzc/JHcUDEyc9RKgOiajtKDaoDOAbjdIXg7JcOi7qlFmNhubjuoV/GfX7J4tnIiDXBvVFxukLwdkuHRd1Sm6QTdYlgQdsqqyxCjjryYc0Ux0oQLhGs7W3tp8+YPm048AyrunCBNRBPHEIMNYeOG8HZLh0XdUpukE7Vjio2bRp3UThq5eIZCVJ0Oypm7wLvXmkVDZQg91ZeOG8HZLh0XdUptIECDnQ2qDk2Uo2ejsjnipQBBsthQcnIniIiY4RiuN0heBZjCga0dF3VPpjEKbxtVPVYqOcQVYVYVYVYVYXOcIKyz9J/9oACAEDAgY/Al8gcz9xq2ZF3syaK2igfuIHGvGHu+teMPd9a8Ye7614w931rxh7vrUZUxjjvcqMqe0tmC8GSG1ucAhJlCEtoR05fmN9Mzv+0qncwjjvCUZYtPtVRhnpX47Pu/AgybLEvVyawbVOCmAhvJrpshpdDC+yTtwslfjs+78C/HZ934F+Oz7vwL8dn3fgX47Pu/ApofIYGd06J7yOA/4XhJ07hBqty/Mau+rfGAG2rT5xGs6LbI2qrUP9opmsSzDW7VkiAgSXWUYmzrTaHbRxwTnaw+0RMc2oDouhxXJ/0X9U3hJ07h05fmNUqaOi2ZSg9vRITCwxA1mWN6YIof22qj5ZomDj3eHKjNZ0HTZhG683J/0X9U3hJ07h05fmNUyBIssJwUwppiE7+s1mZMDQKADv017YgQuaXNayFlrTDnexgxqdI12aXS2UEc2BphTRVQpP9bqkx41V9mij2nkGmC/l6vNLmA0tcGngAT9ZFFqQ/gIOe8JOncOnL8xqn/Rf1SpH9lLqMI5RXvtUpjKZLG94d2hnG7cC1rS43LVj9PzCv4mrynNYTS50BVukp+rD2ZD+Axz3hJ07h05fmNUyXSZj2EAAE10IiUD3rQCBCmIwcIXea1ETXVxrAqaN5TzNa5omGiIOM8qkz2BxlS7ETZOB5JzK03oqf9F/VN4S5+BrgeVB7KWkI6cvzG+m8HpzBZG7XmvHuiLer4sWQrugx4daacGBwdxLw5mblXhzM3KvDmZuVeHMzcq8OZm5V8mU4u26OVd7POQYBk/Sf//aAAgBAQEGPwLhnj017552cyPUV42yrMw/JzOUpBCjhVU0R5nja5UXTXReBU1di04fNh28xJE2yALRtRUz7d7FECLJ7xgwFane7HO9zj7EzP54D6M4+xMz+eA+jOPsTM/ngPozj7EzP54D6M4+xMz+eA+jOBjtsduasb3bXSI5otmMKKvyhGfMzKxPb2Nc73EXgFvRWEezrpPyUmM7Vu5POGRjkaUBx694b0a9vtp+oXV/IbvFT1kywUWu1TOjAeQYEdoujjkRGJ+1eJ93byHSrGxkPkyTO/ed5GDb/thCzRrGJ2MYiInYnEP0Hmv3JyH9OFSOM5abKSJWyo6q5WMnua7wyYJnkQ/U6BVf/WVdfI3T/XysNnNLXQCVb2ypwIfiBYw+YL4xkLqInULr8HmM/wCfH5jXn+Pl/FnEyfVZNJyTJIsSQ0EOyqFo0iwZDemlygQXSp7ZqkGblOdznIxr11Ym5F4so1V6wLSNHHJKjokTFnX0WEXevMiAtPF6psoQHdjVa0ibeze5dV4/Ma8/x8v4s4/Ma8/x8v4s4/Ma8/x8v4s4/Ma8/wAfL+LOPzGvP8fL+LOMOLCz25mTB5Tj5IkQuDLEHKkstojgRySvrOfpmHKiNUmx+xF10XyfqGaehifxQ+xCKArxEbS5i5HDcrV1Hht8Vi9n7hRtcn7U4DSId8OACOSwt5rGo4keCF4x7QI/uLJkHMxjNfJqrtFRqpwSNDwaPLxkB3xWyy3eQtyKZFYbTxJJA7UdOGYQbdzB9Gomoui7l7/F3jdjANLw8VWa5iWxbGyDNg10LGmX5JL0iKNJLDA3K5qj3J2bdNNFA4QEtsStF8RojEKbp5kLVry1ppkUjCKWLzETex6K8TmP7N2iU8TG8fWnZJx3HrySUtpOsTELfU8W26ZOpJymAitltYio3c5Wquui6Jxgn95Yx/W4PGQZMQKyfBauVOZH8nPOMfzYLnfAYWQrUc74KLrxiuSPy8czrj01jltQesoYlHBopTGSrPwKQkIFsBYAXedJlSnEYiqm12nEWeSnySPX2tVa3OPTjxK0Ycjg0sR9lOfWs8WWTHL4WN0oTJo4jjAaqjR2mnFdehi3Myqs6t1kGYAVaNgTDuK7HzVExs21iEh2se6uIoCI9ECxTblJy2EewseVi2XR5UaotbyVFKHHUKCupbIdTYFRfrIoZatmnGgkjuN1KFaod6cZffkqrxsDC5kmHa6irOed8JgTTSQBeK/GijRTsKu9Ruc1dGI5+rOJddaV11HlRKqjs0G0FfIdMJkdi+op6iCOLZGKe2l2YDB2bUG3kucr0Hte64rOhsai4oSQ22tRatg9ZGHZAdIrpSFrJ1nXyIs0Q37HCO/vMc12jmqn+hmnoYn8UPsQ/Qea/cnIeMrpyEGKXb44rYb3+cvIPocYm7k5i7JKPVvl0H+xeJUGYJwJUOQaLJC9Fa8RwEcIo3IuiorXt04twzwOjFP6tc3njG9W8zpZ+CW8qIR7EVXC58cjXojtHbXIvkVOJfqfyo+2ziAJMwi1J2lC+KN5Eibl1cRYSKvd+HEV7E28tq8Q6ic1rJtXiGEV0xjXI9rJUHFKmNIa16dj2tKJe32/YwT+8sY/rcHi3pLjTwy1gSa+a5XtErAyhqFSMK/ujKNXasd7T0Tipxu/zyvPisFkaP1UCuLT5BeV0NrVrq+db+NyIbQOENqSXBAjpY27V0R79aLH5+R1Zq7D6C2psaIGqkjLKJPoC4zX2F4zr3Dc6pp5RERgFbzjLzFc1O5xaWNVZ1g1u6aHFtaOzqPE8alW77PHpOSTvDzmdy4+UVlC2MdqfGNeqGR/M7eBL4rj0kUWouq6orrCqtJ8PGiWl7EvILqQpLZkxoqEkFrAbnor0eTXRrtnGVUAcro4sHLra6sbUngMgsoobeo8LSGiuseUJoCjHIVw2tc549vYxVRZVhSLjOLNWJh0qBFoscZEiByfD7w95HtJcSNKigmRZr5hAEZ3S8lo/jNW8ZDlN7Nhy7vIhVEJwa6OUFdWVtKOUkWJFWSU0qQQx5xSmI5Wo5VaiMTb2/p5p6GJ/FD7EP0Hmv3JyHjF2nr40vxC7ra4cghrCPLryTZHRsPCNAlx0RznSdCNK0gyD1aqaKvFR60MZxnGZ0ifJirPs7CtfKkMbLEroMwsRsptSc4ZDOSbqwSF3uY34PDnSY9VZyMgWc7JLu9imsJEfH1imPkhG/OwRxjdUiLr3ddO4nYu3jD77CcVgVtrevdNh2RZNwSXVNBEiygSIiJbIFs0RZbFRXtIzu+avGc+svLcWpZuW0gb8Q5YnW8ePKWhxmHYV75MQdog9WqVGORmxHNb7vBsRyHDoNRYHhSJNVc45PuYhuZGTmHCaNPsrKI8nT6vY7YrU5eit7deMfxgpuo8Kz3FhikK3Yp4si0rJkIzmIrkY8sSQxXJquirxmYZIRSBLi969RHGwo1eKskmE5WERzdwysRzfcciLxi3qwy6KO7oru/9W156t7SzjMmfN5mY4x9ZsTM8rHtYevgzT7P34JXNVdFRnGS0PIgnqKDEL2XFEF6+IScnxuqj5FLguRvdDXGppexjkauhoxu3urtq7p1xiRB2wMWcrRUsjmRJ2QZPjtMaPFG7ICddXRoV8r2l87mBbu7CJpX5i11O2gtc+dh4aPoTrbRq4mQyMSj2Sz/EOWe2ZZg6l0fkoNY7tiLqnM4wmivHVVVd2tqQ04bK4qxb7D5WN3+Q113TPJPRYhYsihdAltXnIMr937qL6x7GpfThsMZtKibjzlC6bHm4leWIK2AWYFswTvEUcMzjbXog1cxNPbU4QSg9aISgcfloRgJqx2EY80ZpUVPlWk5e5FVjk7e3XjF8juh0V43M8Psbuvjw4EqoJUXEKPXSBimldZT2TaZ7bBN70aEg9uuui91MLyGTWWpJWI/WmPZVsAtX05YlpGqbGAaKWfYc0BSTBkjk3NdohGu10Rf0s09DE/ih9iH6DzX7k5Dxgn95Yx/W4PGc+rKyIxTQiWLK9Sr8lDtDnkwjtbpuf4XdjUmvbpuYmmmmuW2E0To13e2JcBgDd2FjxoLxTMwKmvanY2NDVf3Tkb7unqm9HH/pVHx6zQcwQecXNBc47+WAXMwuqZzDE0XYJmurl9pOJGXZLl9ZaT4sA8eppMbj2VlIeaW3YYxpZ4EOCF7QI5jW8zRd+quTREdj+TGFyFtc+xgogK7eoIobatiwgOf2I9wYYGNVfbVOLx1/GmzKRkApLaLXPlslGrx6PlNRYUiLJcHktXmtR6I8W5rtWqqLSZrIYsrDcWLByCkkSiTyz62fRTumgcp5JLpzpoJzOQgnkc0mvLdqxdOKGeypt31ZJ0vLawFtcZI2T1t4hXy5s0Mi3IWQyyFJergnV4nMO/ufGPRWwvDbJYw2whRmuynLHvgx66aGyhQ60z7xTVkAE+MEyAjuGFSAE5W6iHtWz8LIkhbQ14gm2lwytHdnC4JboFOyelRHt3NerupYBpkIqkR2/vcY/HtwhgxKNJtNj0yfkltDmxfrJHPWyauNdmthWZ1sQSnCGFTvXzUGibW6AbPrLAqRqOHjY0Zk2Ux91JXyWzIcA/TXQeqYCUNpEcTeTe1FVeziyg1zLBgreSabZHlXd3ZWUqWeFGr3yX29lYy7VpkhQhDY5pkUaDTbpxZ2sqhmzKavojVMoMqbdZS+DjhdiS4MAF3ZzvD6vaxHFHH5bdGa6dicPr6eBfVuRS8ehS4yZV4/JsJmLxXtZF8Ksr2ZZItUA8ntAEzU5jlcrNdV4lpXWEGesCWWvnJClgldFPBpz4UvkEf08sO5Nw36Pbr2p+jmnoYn8UPsQ/Qea/cnIeMcsFdDBW0l3XWdjMnTocIIBwjtls06k4nmK94URrWI5dfL2arwB1rJitqbCbMrJs2PPjSIB6ixkK2PYrJjleJI8eS0R3btHNaxUVEXyFrMU6OZV1Yyx4D4J4rYc+ZJISzu7NslxWxiOkzpDkUm/a9okVOMHbVT6y0fjMY4rVkKzrzPCNKuEj5GxJXMeNqwHeajvL7+cUM+ZVQrfIm5U+qgybisEY7bLGIVbCV6Ol/N+fLA5E37ezt8nBYcsfKkBVEKPex+1Vaj07w3PYvdd7S8YJ/eWMf1uDxl7y79H45bxWIMRTkfImwjQ4omCAwhXvNJO1qaJ7fGX46OJL//ADh1ZJ9aVXKSFMdzrS3pjVcDFRRkA543gzNySxiTtasZq6IjuKyJ1dpXElYF6kKwc2H4lBm10366LAy08XVjEjWUHHGMU6q3c0DU17vBB5jFOPIanMfVjTzbAPVshXsSLKuetv4Ywu5Y4FvUMivktVEa0jdjvNTjMTOLY28mp9Xk67qMmrz2sM9hcTa+8hV9dmNOZ8twM8BMntIvIkOaVwxO+AzWtfFO98Ox9Wpb0niy2coVbcOk49XnbjTo7OdCyF8OLPLF3c0iHMdE0Y5GtmWFglhExs2YesiGadvtXzJA5VDrT011Ga5II6WU9SFjlY0ukwG1vL1RyyPreS4ZIb6q8PdgG19q2WuQeCTPrF4HyFa4mZJlb0Qyf/VtUafJa8W475r35FLwMcOxEAJDPNkEuqEGSEQgMe5VJYvciaJpwubutLvI8ih4bTV9IAEJkBtNXCsa2XbdDAr4wrA03pgEaR5HEe5iKiJ2onDLfFWxm0pcr9XteOeGNYpQKwYMlNkSEFDdEaeGwRYfXKNW6qjWvdvb2U9pk3jHT1GCZ2iPeG2lMsJAc4GtJ4LHlp1xWSaVTjrhyPnHTd3VW6O4qFy3rRYI+w9ZunVrYMrW5I/JYa4823cx+iIzEkXw/mLy0/2u9xnY5rsuZagx6lH6mPFVtmX5WpScutNTMErTvuZWTaunatSSgXN6hGj7E17vj/guvkFs8Y6H3PkdvW/+P/TjIqBrkYW1qJsSO93mslPC7pHv/wCxklGqv7OJMGYAkaXDOWLKjmbsKCQB7hGCRq9rXjI1UXiH6DzX7k5D+nRlGJVhY9IHf2B9vxYUgPQkJmum3mnnoNGp5dNzk81f1FbUZ30GQq1rCWUYDZAJzWJtH4jCUgOeVjexCtex+3sXciNRBW5r6jlRRQMgho0bZ45DnW2P2lQB6sdGUbUGac1zu+vdRdNV4+0WM+/afR/H2ixn37T6P4+0WM+/afR/H2ixn37T6P4+0WM+/afR/DPGcrqwREcik8MiS5cl7fbazqkhCG53k3d7Ty6L5OPCceiqJj3IWZMO5Cz7A6N28+YdGs3qiea1qNGz4LU1X/hP/9oACAEBAwE/IcL1yeEobmwkBoBKIGv2SgkQrpfacOHDhwMa8IABTe5Y5WsGPzV1N8IBt6J+A78bCkHP5IDjIdRYvvFBOGSg9wJiqnedg6TincPwE2cOwLOkYDuvAdON1SNoPjUTAi6imAcLi6IERPZOnTp076fM9rW1w0PXwJYlWbXdyLsDg3kMfsYKIjTxUXVTc4PgUtSaFeGD3oZUQM2+LkMwirckDBosbFSwUxzL0UCMFog8Y8W0G1LQJsSlVQyYFaCuqkZujZZM1nGqGxmcbiEColLo/ExfBcIJhhXgFqNVSlO8SVkJZ9ynUAV8Mb8PMpn5l6SBthM9iQON+6LCVPYBrviKCbM6Ew6llwxdHoTpm/ed2xmhnaTQiB3j/Ks0m68YWlyvNgvig0N+J6EK8EBEG2cx0yr1Y+QaQdPV/K26JPdzsuCwE5n1AGRgZNQ/C5FYH/eugKapGDL0mVmdPFzZb6gX2oWPgfJBykfszbtptv3csJjwWwMWIEpjoxZiA97v4oWg0zRK3TJbguXsllPhfuLR5S0IOWDRdMWcbQfCXHrfl5KVsxSJwdExFPZ01oKBcaD+Fkaq+lKRBz0BEAVdQSFYsDAx3Q5XB2ewWORTROQw80gIxXhJ3Rcb/O3FtlDfhpxqpH2DiOkCk3ZbpAn8U/5EQywyrxgDAOh2YRnwbjSHDbAj+cx18MD7qywk8k8YqiBul6OnQwZCHZW6Giku0vgY/wCGsqIZ8sVzqRQHStDYtxycNHl+wATACEA1mxbuBT7kHiDJoEoICkNHIAFhvs14YCj7bIMEFLY4CEzqaFGJtVfXIsCM8G4kWd4hVisjYM4+OQ/IQwhiKhN4cYe7myAw5crr4BEbQaDkkyHq3VdJGVHNDt9NdXTEk/FohfcFhO0Z6N2ndOnQEIbvIDcKr9DPg2CQTdQtulM2px77Z9nvb2nVMSFQKy7kBWJcQvES7Hc32Ds58DyLgxst8D5d7wrlUAJQerDDcKz39Zh0CnBnd/Sr89QgvdlR1YA2nee7wRo4ZNG4+8NVxcB7+6AaWf6f8lRZkqh7YHhVYqoHAPUERA98IhehhlVxNpMH5X4Bsh8La+oR2FDO11GgMr08s9KhRe+32kUZLFapIkfeHraFjiGX+lBOn001w5YXI/7xSrSlKc4xJsmmwxq6J7gSlytpVM1v6jOhL4CVep8cEBBvAuMkx+sKFvZp0wH2WzZs2basmCTs0qQpvhUClrFuBVcFi8g/5H//2gAIAQIDAT8hw7f0nOD0bSbZwex7Z5/5emef+Xpnn/l6Z5/5emef+XpimCff+su0X4A2OBceNX7jQA8p9ej8B1L5G/5P3ky1VAjOoEXkOlOeLThx70dgfy9Izjq85MtmWzLZlsy0/wBsCPN+vgiSMcIYEGnVewfIfXNv5S6+fR9g7POOqQLewp0djif+0Zd3e/l2Z5OqYISC3XfIa0WcefpnzTuY6M3lyMuXLl92WiVtJB+38b+meunOH5qp9zZ5Z0Dd9p39n8U1ME3CD4fzTueEyZPBHwTr7stGqy6OU5Tek489eWdd8H12WvOUbhjFo7bb6r9eTrLOccTCu8lHZf4ZTMOQjhlCPwZpSHIKb4XBehx1uv3bhpH6m8eM8nOWbyvOD4qzrPclo+adzOALtX36b4VimNN9RI+lPrCz8v8ArPyvlyuCOgbXXKHB77+m/wBEgaQ+hrHjNS9MhkMhkMhkyBhPclonrBKhoF5/WbGicB1WrTk/h3xwkuE6u1fVbdSYlHUQdztfNhUnqiC0hy9+8+2CJTjPmncx4z9eHr49c9ccJq4+WGevHj36TEbQPcaFY5a+nH5+BUj1u/qYkdafXqfyz5d/rPl3+s+Xf6z5d/rPl3+st+0fJkEf2/8AJ//aAAgBAwMBPyHFEQu9B+u1fIL3xMzJFfNVOH7M/wBNn/TZ/wBNn/TZ/wBNlCJdEb/T7pnNEAf2dE7Jp+A09VHavP05zUOAPnq8r1d+4Fj80S/leU+4834Au46qC77I+z4KwtLdsNh6gXunOsZDBuA7tVfU9D2lVVVVWEKJYNzIsOlL3+A/Afp8DtH+E/rGjBx3S7+QCv264LSCwrTpbdz6E4yYqALaL3xGTc798UXB6F7BdHsmmnTIP4gJuvW67dvgsH4D9PiLGEv5w1e3E+uKXTI9x4zeGS8xj6OvXN0S7Fv4ebpL1Zs/9Hln4fgsH4D9PiLb9YURDQJ21IjscRTrSmuBEidiV65M6JQGwHJ5n7e+aOlk2UjlquI75xMlnypqHo0t5w0HoUR4RXzp315wXOUOyGfQPwH4D9PsC8ARa9XUQH4vouLlC850fm2mfgstUrBQ5ez54WGVaU4ACN746cdR5aGvdXX1S/AfgP0+IsuWiAx2DDe1yoBUQC3Dupwd+uB6bYMBqykHE1XBIaZV6XEumcJfZQ7S3F09MNPV8DgovLPS/wALjsAyJwjsfcC304F34fQV+Dr8DGjpNj9xDyRO03jBd7JvuvaDXPtLLLLLE+osH4p/Hrm8ZNBoOw/na9X/AJP/2gAMAwEAAhEDEQAAEA5JJAAAAAAAABKbbbaAAAAAAAEfiSTgAAAAAABbFFhXr/3wAAALSxTa8SfbQAABaWaLmY2/JGAALS8XTVW4ym8ABadROWQEEVYlkiTbbagAAAAAAAE9tsYAAAAAAAAAAAAAAAAAAAB//9oACAEBAwE/EPBWgsvSlSDj4Ml7TnRdRD2gj9nZs2bNgjO/VmBikGOiTK4woF96Ab4N8BCTEIOWBo6ROhyZXZ9ZMfbA4Ae3rkIXo+ecUZyPgON/DS+TmHGwJiRzcqFNS1Q+EVT4YvY9dFqrV9pHG7du3bmAMguHjuUd+CUlLI3pM6pGqB5UKWBv2sjJJcqkC3pR1zTwmZwrSa4mfqieMPBrPj+UNWqlvyxKQIc/iN6l835SAIMZvNcApKPhQvc4ZTaoANYM/wCJfjYxcyQVOm7/AED+O6LYnpjlvtYJyZByLgjDwqClhEfngAODD/EfFYkgydwz7vhTK1l7iv11m46Vog+v6rSK8gR4Yvw+xZF+g6K/lL1JG6bFS6ALzjL9YOgHgGnx+NeeDzgA5xkxQYfpDl8CY7GfinASyKttzNb18K893XnQuYSR8GoapSOsvPWtBmHl8Yk0Npm2miLk0sKhPea63MfSjoMhuVr0CektJM+GgKli8sMPb/QANFJ5D8cEjVR5SmjffBQn1EpYRNDUJhwrImD9QxdwYsYLxTkaV1PEP3rMQCofodqgDspAjNVEfDVdMweDM2vfYOpblgZWB8Jwy7FaZAWxZIyVHVwQti9YgeJhXczNjB+ygiIyMA9cpGM6NoIhbF4gA/h+ZyXA8C/jZWP8mEMAwHd7oStfxz5Tndmp0VoMAViwn4/b3C4HgKX/AJMYWoAboyZakRtjtUqXxITQYiUT2Y/kAGSHiJIkZR6GmdO422nmPAb4AzKdbySXMOcVeNzbxjWKIMVMkbHuzwAo+ia0jQYIsI4PxLMd5VyySadFnD8oZ6iARD8CS1ZRRY3SXQC2l2e4DIFQ4h+4BuZ6hkegL7crWa2T7yMNRKMLoBEf91f9Cq1gM/D8JsoZFRkVJIAUzbz2R0HBLdg27AEhEDj3mifVtWnhmjsQz5M6GoYM0OpMIFGBQHGaG/Oa9CVeIwR3Ci9DgxZBmIBNKQaDZnETMAEuuhwI1doxwhIhbgL8CNnCYJLgMhEIuUhfXU4RTwCoP/xA/kZ1RUxaKHB7rorPSBCa3K+092YVE0fSwkF9TkxR22IHOtLyaBZmhwYJTdNEJ5/D0PpnlB/4oZwzduvpODul5oQGq1sUmKR7We41sTaNl9RayOPwQU0f3sJf5X8RBzlWUUI5qHtCoUKFChVD0QVKNAjuGZsccCE2ZAbf/Jp//9oACAECAwE/EMBXUU3LzmgPNQ7Y7c6F0UNbEQeflvP8hj/IY/yGP8hj/IYFIjyID15fYXycG8cE/T1E6jE6/AbJUx3hQ+rrE0Jq/wBdg4Doa9wPbzuo/A87r0fI+AsKFKgUpwIP1Hr4fmDLkAOBMoBESXQFrPBSKJpnZhh217P79+/ft4egIC6qjBeUSdnj4D87+zwROLo5Emj0fPBxBHQdKsou0JwhdXHSvcEKqihIOztFyhJzXEHOsWDt4kRMRPISUsPIgiiIoiEgYhiFpapEaI2Yp2HiPKj2w1G+uTzuZovTJ7OTF3DEjG4Vrqe4/O/s8R9UC2d1cCldo5jdA5vgIaR0iaROiOk6OsuCI232SeiCdUPXG6SjuiJWlssI8ZUYtCGtIKaU060p2fE8gkeMqRdZaBdBnOnUyvLFhKbzlSHH4whVy+4/O/s8R6HG3oPE8oioUtirlgZ4FaFqHstKk65xnARkQpqXaQ2Aiql/CV26VwQ1GImA7DyvsgmmjQIAlqnHpVJBYrqNiUE2Y2kgXiKQrNEVllZc5vTOA3FJ9+MYR0DFJdZo7LP4xVB5/jKjOT9Z+8gC7pguzt7X539nsDzzNJTdAWDUIBHWDpkEs6OugUtSbncXgyUTMcY1r4LUWCaGputM8rQS2OQhSAYWWHGRV4ys9DBAenOfNXN1xEL0xbnABDEVmp64qhbMEePZ/O/s8R7ZIUhoxsgVBAbe0wCKIhL2tgGEm1IhpgDFaVLK9FQDqi8YgPhpiA0jLsk4qUp5z4QAAEoQ9TkLzo/prwPcnpkdnq/8++OzrwfvebvdTDh9Pm+eJvXE/rC8uK4cegnz3uVy5mdwWZC3hTFGt4f3hL6n7/rGRts1m555MNAHrNfmYEahEeRNI+nuB4iaiduX1MT6vT4GnGGwU+wr5iM5sMvYA9VGXXAhd8ce0MMMMM4wdUK/mD8+maUB2rtO6/oIHQ/5P//aAAgBAwMBPxDEiYmrO2gRtBCIBHDaXIQHeDCuthm2e0ECBAgQOgUdeQeR6Qd0zjoM9zohUdUhsU+ARzu6ghR1DV5GD4IN2OVeqVG0Vt9wdHyIHKlKPVB0OQp783FHUVo6Xz+l4TraY7H91YhIUI6MleA1Y1UkiilrJA9meeeec90FAyHf0TcEi0+BIKWQIlIo+6R8lOuLNMygZeGyYJYBEOC1W2m9SgWQJKhi7/xIILdwItvag4C2UJQJQiogF7shZK4RwfSpVgQCivhmdZvLly5cvvCB0120HByFHkiuqTlME0QyIAUJrY4VJBHE2PDFSUAlohb8cfAwQccGki4g46iqEis6OxQ109jNHJ0yZMmT3hA7X2qRdVFAanOoAw7w5T3FG1I2MgcCk5zDYSXcuqkEg4AlpRoARdocWTcRLG1bpKD1AGcJXmYQZNQhZQSM55daCgwoEMKFx4zyy7zeXBy68LM6z3RA7mTvYI5BGwuE1dq1DmqMaHVdE2HMqDLjvo0aLB4Oq4Dq4B577ShoYTuQCrgTxiBAVDcABdXHNTyznJkyGQ8NGE9yQOj8jrBlxAFQE0NQW46S+0c0bSKERLN0BNFIKI6OkT2HSBJSWKZRzJ17MRPwPBAJxBdt3kJkwl0xLFOEHkeTwzPGeXTw349fLweMTV64+XGGs/XiRFSk5SIPNkecx8rHUIA9RER7e4OilGVbjSc7NeLTh8CBIlUmLXVQ7bCoSlWqBVkIUKquhsWFc/zs/wDOz/zs/wDOz/zs29SajXouoOYbcRaTLFA212GXqmIpCf8AI//Z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4859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4</xdr:row>
      <xdr:rowOff>0</xdr:rowOff>
    </xdr:from>
    <xdr:ext cx="304800" cy="304800"/>
    <xdr:sp macro="" textlink="">
      <xdr:nvSpPr>
        <xdr:cNvPr id="3" name="AutoShape 1" descr="data:image/jpeg;base64,/9j/4AAQSkZJRgABAgAAZABkAAD/7AARRHVja3kAAQAEAAAAZAAA/+ED9Gh0dHA6Ly9ucy5hZG9iZS5jb20veGFwLzEuMC8APD94cGFja2V0IGJlZ2luPSLvu78iIGlkPSJXNU0wTXBDZWhpSHpyZVN6TlRjemtjOWQiPz4gPHg6eG1wbWV0YSB4bWxuczp4PSJhZG9iZTpuczptZXRhLyIgeDp4bXB0az0iQWRvYmUgWE1QIENvcmUgNS4wLWMwNjEgNjQuMTQwOTQ5LCAyMDEwLzEyLzA3LTEwOjU3OjAxICAgICAgICAiPiA8cmRmOlJERiB4bWxuczpyZGY9Imh0dHA6Ly93d3cudzMub3JnLzE5OTkvMDIvMjItcmRmLXN5bnRheC1ucyMiPiA8cmRmOkRlc2NyaXB0aW9uIHJkZjphYm91dD0iIiB4bWxuczp4bXBNTT0iaHR0cDovL25zLmFkb2JlLmNvbS94YXAvMS4wL21tLyIgeG1sbnM6c3RSZWY9Imh0dHA6Ly9ucy5hZG9iZS5jb20veGFwLzEuMC9zVHlwZS9SZXNvdXJjZVJlZiMiIHhtbG5zOnhtcD0iaHR0cDovL25zLmFkb2JlLmNvbS94YXAvMS4wLyIgeG1sbnM6ZGM9Imh0dHA6Ly9wdXJsLm9yZy9kYy9lbGVtZW50cy8xLjEvIiB4bXBNTTpPcmlnaW5hbERvY3VtZW50SUQ9InV1aWQ6NUQyMDg5MjQ5M0JGREIxMTkxNEE4NTkwRDMxNTA4QzgiIHhtcE1NOkRvY3VtZW50SUQ9InhtcC5kaWQ6Nzc1QkVENTNFQjM2MTFFMjg3QThCREZDMkMzQThBNkMiIHhtcE1NOkluc3RhbmNlSUQ9InhtcC5paWQ6Nzc1QkVENTJFQjM2MTFFMjg3QThCREZDMkMzQThBNkMiIHhtcDpDcmVhdG9yVG9vbD0iQWRvYmUgSWxsdXN0cmF0b3IgQ1M1Ij4gPHhtcE1NOkRlcml2ZWRGcm9tIHN0UmVmOmluc3RhbmNlSUQ9InhtcC5paWQ6MDZDMDIwOTYxNzIwNjgxMTgwODNBNUYyNkU2REM4QTkiIHN0UmVmOmRvY3VtZW50SUQ9InhtcC5kaWQ6MDZDMDIwOTYxNzIwNjgxMTgwODNBNUYyNkU2REM4QTkiLz4gPGRjOnRpdGxlPiA8cmRmOkFsdD4gPHJkZjpsaSB4bWw6bGFuZz0ieC1kZWZhdWx0Ij5DTk1QX2Nvcl9wb3NpdGl2YTwvcmRmOmxpPiA8L3JkZjpBbHQ+IDwvZGM6dGl0bGU+IDwvcmRmOkRlc2NyaXB0aW9uPiA8L3JkZjpSREY+IDwveDp4bXBtZXRhPiA8P3hwYWNrZXQgZW5kPSJyIj8+/+0ASFBob3Rvc2hvcCAzLjAAOEJJTQQEAAAAAAAPHAFaAAMbJUccAgAAAgACADhCSU0EJQAAAAAAEPzhH4nIt8l4LzRiNAdYd+v/7gAmQWRvYmUAZMAAAAABAwAVBAMGCg0AAAzIAAAf5gAAJ9IAADCX/9sAhAABAQEBAQEBAQEBAQEBAQEBAQEBAQEBAQEBAQEBAQEBAQEBAQEBAQEBAQEBAgICAgICAgICAgIDAwMDAwMDAwMDAQEBAQEBAQIBAQICAgECAgMDAwMDAwMDAwMDAwMDAwMDAwMDAwMDAwMDAwMDAwMDAwMDAwMDAwMDAwMDAwMDAwP/wgARCABTAMYDAREAAhEBAxEB/8QBFQABAAEFAQEBAQAAAAAAAAAAAAgFBgcJCgQDAQIBAQACAgMBAAAAAAAAAAAAAAABBgQFAwcIAhAAAAUDAAYIBgIDAAAAAAAAAgMEBQYAAQcgMBMzNBURIxQWNjcIGBBAUDESNSEyQSIXEQABBAECAwMEDgkCBwEAAAADAQIEBQYREgATFCEiFTEydQcQQVGRQiMzJNUWNrbWNyBAYVKzlbV2lzBDUHGBYoJTNBcSAAECAgMIDgkEAwAAAAAAAAEAAhEDITESEEBBUXGhcgTwYYGRscHRIjKy0hMzsyDhQpLiI3OTNFBSFAVigkMTAQEAAgECAwgDAQEAAAAAAAERACExQVEQYXEgMEDwgZGhscHR8VDh/9oADAMBAAIRAxEAAAHf4R2wrBFfW2nGfHsgALu5MTZDu+uru5MQAAAAAACx+LN5NevfVWaOTTxtx7EAAJ77eidGt088gAAAAAAYCwt9zxUn0DsT2/XsQdbbsVcW0AAynkazpHvfnMAAAAAACM2DZOWyhenZOZNb8U/f144zty6PGEbK1uPKjbw2LM2Tp+nfsHytgqIrZ5z+S8j5F7zOT5AAARmwbJy2UL07JLIrsrs6ra0tT2PIfmr0ttjVIk4FrjLj2XM2Tp+pHsHytHCItIqhi2GQ5fpnmWcpkAACM2DZOWyhenZJZFdqE8eyfa9c6+9RfpcZ9TufKxY56+xYlja9Bt781au/hKaVSPMWmUU2S/c60PiJaykj9SABGbBsnLZQvTsksiu2nOVtW2fV2urUdhTN2VOu3OxI7aqw4hjbdE1781YHiLhKsXLM2rEeiWRk4MiPkSfma7IARmwbJy2UL07JLIrtRjjytyarxfXJKjKrFbyMfTJX+4spZWr6Y+wfKuqf4VguEx6e4qKKomY30jpC3YeI+R6Dad9zRuHZcmPXvquQPNoY249iAAEyNlUOmS8+bQAAAAAABCLVXWK2stGI+LbAAXJyY212wdWZhydQAAAAAAAAAAAAAAAAAAAP/9oACAEBAAEFAqnWUohj0uP+pNtkr37tG+vdo317tG+vdo317tG+mr1VxVSexvzPJW3XyV7JjUee3pykTtiXxxpenmarI3OtflIlCfj7kGMa9P0ZxhZ6mkUw8hkXIMY1yDGNcgxjXIMY1yDGNQZkx2VNtfmTyvrD55yeeYtx+fkeUrH3H5D6yRvHFsnZRx9bHEqyORGEKusc+YU0kgIhE0RGReV2y2xdlOzHFy2k/LjalMMyK1ksrvklnYlzBKkj8r08yeV9Yl8cel5QlFIFiRQ3q4W2rWt6xg8N+UYflluVM8orHPmFI2htf2FJEJKWyHYpf17KfiVQUtJwS5FXdcazVwZVuGihucZi7g3venmTyvrEvjjDjsQ15CzemZiI7jGSOqqbZebYdjxlj4GLKGOcUpIBkl1Rxc2F5vyEnIVQMsgMban7Mxcfmj3IsktLEHIcpNaYjlOUvK//ALW7OkavcwxOdmGYRyLsz9IUk10cyeV9Yl8cY58wsOrCMgY+QpD4dDfUZ4LwoVt8BYqUQfGjuhk50zzdMrtFosY8YvcsbtMLgkoj9sTwXsl8fRG7g5wbHKFucsUwZ2s0RZmYkTnEsc4/jcEc4FztE5trlo5k8r6xL44xAyKHKdQhyU4py9mV5KnWQvUAhC5wzFCK7fhJYjUt6nHPmFkNQUmghzUvSIXApud035O5sibm9M4x6SR5EncW4SkEparpLR6eDdf+GySBnL8fTApnWusCfe775EzUHalgEhaDpeO70zYryeJq0ilAqxL440sERZVJcjfIZLwZHMhnw704SWMST2pTGvalMa9qUxr2pTGvalMabPSe9CUwqCx2AtP0j//aAAgBAgABBQKjTyya7da9cwtXMLVzC1cwtXMLUFeXQRBHbXjF+ABCuMRf30kZtwG69R0bHqqRgIuYMJARdVXVV1VdVXVUVstrr1O4or+xJVzjPyDQLFbY8q5QjOiwqJ33x6dYp3FF/dH/ACZRf9yb2OAba9jKJ32h0fDo1KncUX9yd8qsWIAL/wC6gBJYQFgPJThKMGEFy1Pw6dDp+HTpqdxRf3J3yPrk1v4Cq3abg04iyxgHcxTr1O4ov7lb1OPYHKRgEcquHZpzAdkonfaj/GkYH8y726Ll/fSSAuM75A9KA6goRhvy8yuXmVy8yuXmVy8yrN4qKKAUH6R//9oACAEDAAEFAqQtitwufHDE5PdQyu6hld1DK7qGV3UMo2LKg2OINTGa9MTdQeSSWnKdeC0pAjCoRa9suOy/buVP6ly2KNU7jT7dyrbuVbdyrbuVbdypac4XRa9n/Z07WsJE5r7NyUBK+5Jyhx5a2L+Ypm4SkYacOA17P+zp14KTWF2cAgmBWGANJciRtitqMCampw4DXs/7OnXgncq5iBlEddQ5Jygo2kxWvOUbZscXQS9uKGpssZdez/s6deCcOAdwXQLxisrWR7jXm/Q/OgVriUNNZGy69n/Z068E7HWAiWlhdGlnJuiQMIrlrHUW0egiCMLhwGvRn9mVBEEYXXgtJ8UhTt3yDa9qG+yuRJlKfvSkrvSkrvSkrvSkrvSkoyVE/isWqF5v0j//2gAIAQICBj8CXOrVDcBzUro510c66OddHOujnXOBCtNpF4F+JWnVo6LuqfTs+y68HRqgq3bw7SjEl2IiHKoNcS3JxxEVW7eHaVbt4dpVu3h2lW7eHaVbt4dpNgXRtDAO1eDslyOGy7qlWAqBzc/JHcUDEyc9RKgOiajtKDaoDOAbjdIXg7JcOi7qlFmNhubjuoV/GfX7J4tnIiDXBvVFxukLwdkuHRd1Sm6QTdYlgQdsqqyxCjjryYc0Ux0oQLhGs7W3tp8+YPm048AyrunCBNRBPHEIMNYeOG8HZLh0XdUpukE7Vjio2bRp3UThq5eIZCVJ0Oypm7wLvXmkVDZQg91ZeOG8HZLh0XdUptIECDnQ2qDk2Uo2ejsjnipQBBsthQcnIniIiY4RiuN0heBZjCga0dF3VPpjEKbxtVPVYqOcQVYVYVYVYVYXOcIKyz9J/9oACAEDAgY/Al8gcz9xq2ZF3syaK2igfuIHGvGHu+teMPd9a8Ye7614w931rxh7vrUZUxjjvcqMqe0tmC8GSG1ucAhJlCEtoR05fmN9Mzv+0qncwjjvCUZYtPtVRhnpX47Pu/AgybLEvVyawbVOCmAhvJrpshpdDC+yTtwslfjs+78C/HZ934F+Oz7vwL8dn3fgX47Pu/ApofIYGd06J7yOA/4XhJ07hBqty/Mau+rfGAG2rT5xGs6LbI2qrUP9opmsSzDW7VkiAgSXWUYmzrTaHbRxwTnaw+0RMc2oDouhxXJ/0X9U3hJ07h05fmNUqaOi2ZSg9vRITCwxA1mWN6YIof22qj5ZomDj3eHKjNZ0HTZhG683J/0X9U3hJ07h05fmNUyBIssJwUwppiE7+s1mZMDQKADv017YgQuaXNayFlrTDnexgxqdI12aXS2UEc2BphTRVQpP9bqkx41V9mij2nkGmC/l6vNLmA0tcGngAT9ZFFqQ/gIOe8JOncOnL8xqn/Rf1SpH9lLqMI5RXvtUpjKZLG94d2hnG7cC1rS43LVj9PzCv4mrynNYTS50BVukp+rD2ZD+Axz3hJ07h05fmNUyXSZj2EAAE10IiUD3rQCBCmIwcIXea1ETXVxrAqaN5TzNa5omGiIOM8qkz2BxlS7ETZOB5JzK03oqf9F/VN4S5+BrgeVB7KWkI6cvzG+m8HpzBZG7XmvHuiLer4sWQrugx4daacGBwdxLw5mblXhzM3KvDmZuVeHMzcq8OZm5V8mU4u26OVd7POQYBk/Sf//aAAgBAQEGPwLhnj017552cyPUV42yrMw/JzOUpBCjhVU0R5nja5UXTXReBU1di04fNh28xJE2yALRtRUz7d7FECLJ7xgwFane7HO9zj7EzP54D6M4+xMz+eA+jOPsTM/ngPozj7EzP54D6M4+xMz+eA+jOBjtsduasb3bXSI5otmMKKvyhGfMzKxPb2Nc73EXgFvRWEezrpPyUmM7Vu5POGRjkaUBx694b0a9vtp+oXV/IbvFT1kywUWu1TOjAeQYEdoujjkRGJ+1eJ93byHSrGxkPkyTO/ed5GDb/thCzRrGJ2MYiInYnEP0Hmv3JyH9OFSOM5abKSJWyo6q5WMnua7wyYJnkQ/U6BVf/WVdfI3T/XysNnNLXQCVb2ypwIfiBYw+YL4xkLqInULr8HmM/wCfH5jXn+Pl/FnEyfVZNJyTJIsSQ0EOyqFo0iwZDemlygQXSp7ZqkGblOdznIxr11Ym5F4so1V6wLSNHHJKjokTFnX0WEXevMiAtPF6psoQHdjVa0ibeze5dV4/Ma8/x8v4s4/Ma8/x8v4s4/Ma8/x8v4s4/Ma8/wAfL+LOPzGvP8fL+LOMOLCz25mTB5Tj5IkQuDLEHKkstojgRySvrOfpmHKiNUmx+xF10XyfqGaehifxQ+xCKArxEbS5i5HDcrV1Hht8Vi9n7hRtcn7U4DSId8OACOSwt5rGo4keCF4x7QI/uLJkHMxjNfJqrtFRqpwSNDwaPLxkB3xWyy3eQtyKZFYbTxJJA7UdOGYQbdzB9Gomoui7l7/F3jdjANLw8VWa5iWxbGyDNg10LGmX5JL0iKNJLDA3K5qj3J2bdNNFA4QEtsStF8RojEKbp5kLVry1ppkUjCKWLzETex6K8TmP7N2iU8TG8fWnZJx3HrySUtpOsTELfU8W26ZOpJymAitltYio3c5Wquui6Jxgn95Yx/W4PGQZMQKyfBauVOZH8nPOMfzYLnfAYWQrUc74KLrxiuSPy8czrj01jltQesoYlHBopTGSrPwKQkIFsBYAXedJlSnEYiqm12nEWeSnySPX2tVa3OPTjxK0Ycjg0sR9lOfWs8WWTHL4WN0oTJo4jjAaqjR2mnFdehi3Myqs6t1kGYAVaNgTDuK7HzVExs21iEh2se6uIoCI9ECxTblJy2EewseVi2XR5UaotbyVFKHHUKCupbIdTYFRfrIoZatmnGgkjuN1KFaod6cZffkqrxsDC5kmHa6irOed8JgTTSQBeK/GijRTsKu9Ruc1dGI5+rOJddaV11HlRKqjs0G0FfIdMJkdi+op6iCOLZGKe2l2YDB2bUG3kucr0Hte64rOhsai4oSQ22tRatg9ZGHZAdIrpSFrJ1nXyIs0Q37HCO/vMc12jmqn+hmnoYn8UPsQ/Qea/cnIeMrpyEGKXb44rYb3+cvIPocYm7k5i7JKPVvl0H+xeJUGYJwJUOQaLJC9Fa8RwEcIo3IuiorXt04twzwOjFP6tc3njG9W8zpZ+CW8qIR7EVXC58cjXojtHbXIvkVOJfqfyo+2ziAJMwi1J2lC+KN5Eibl1cRYSKvd+HEV7E28tq8Q6ic1rJtXiGEV0xjXI9rJUHFKmNIa16dj2tKJe32/YwT+8sY/rcHi3pLjTwy1gSa+a5XtErAyhqFSMK/ujKNXasd7T0Tipxu/zyvPisFkaP1UCuLT5BeV0NrVrq+db+NyIbQOENqSXBAjpY27V0R79aLH5+R1Zq7D6C2psaIGqkjLKJPoC4zX2F4zr3Dc6pp5RERgFbzjLzFc1O5xaWNVZ1g1u6aHFtaOzqPE8alW77PHpOSTvDzmdy4+UVlC2MdqfGNeqGR/M7eBL4rj0kUWouq6orrCqtJ8PGiWl7EvILqQpLZkxoqEkFrAbnor0eTXRrtnGVUAcro4sHLra6sbUngMgsoobeo8LSGiuseUJoCjHIVw2tc549vYxVRZVhSLjOLNWJh0qBFoscZEiByfD7w95HtJcSNKigmRZr5hAEZ3S8lo/jNW8ZDlN7Nhy7vIhVEJwa6OUFdWVtKOUkWJFWSU0qQQx5xSmI5Wo5VaiMTb2/p5p6GJ/FD7EP0Hmv3JyHjF2nr40vxC7ra4cghrCPLryTZHRsPCNAlx0RznSdCNK0gyD1aqaKvFR60MZxnGZ0ifJirPs7CtfKkMbLEroMwsRsptSc4ZDOSbqwSF3uY34PDnSY9VZyMgWc7JLu9imsJEfH1imPkhG/OwRxjdUiLr3ddO4nYu3jD77CcVgVtrevdNh2RZNwSXVNBEiygSIiJbIFs0RZbFRXtIzu+avGc+svLcWpZuW0gb8Q5YnW8ePKWhxmHYV75MQdog9WqVGORmxHNb7vBsRyHDoNRYHhSJNVc45PuYhuZGTmHCaNPsrKI8nT6vY7YrU5eit7deMfxgpuo8Kz3FhikK3Yp4si0rJkIzmIrkY8sSQxXJquirxmYZIRSBLi969RHGwo1eKskmE5WERzdwysRzfcciLxi3qwy6KO7oru/9W156t7SzjMmfN5mY4x9ZsTM8rHtYevgzT7P34JXNVdFRnGS0PIgnqKDEL2XFEF6+IScnxuqj5FLguRvdDXGppexjkauhoxu3urtq7p1xiRB2wMWcrRUsjmRJ2QZPjtMaPFG7ICddXRoV8r2l87mBbu7CJpX5i11O2gtc+dh4aPoTrbRq4mQyMSj2Sz/EOWe2ZZg6l0fkoNY7tiLqnM4wmivHVVVd2tqQ04bK4qxb7D5WN3+Q113TPJPRYhYsihdAltXnIMr937qL6x7GpfThsMZtKibjzlC6bHm4leWIK2AWYFswTvEUcMzjbXog1cxNPbU4QSg9aISgcfloRgJqx2EY80ZpUVPlWk5e5FVjk7e3XjF8juh0V43M8Psbuvjw4EqoJUXEKPXSBimldZT2TaZ7bBN70aEg9uuui91MLyGTWWpJWI/WmPZVsAtX05YlpGqbGAaKWfYc0BSTBkjk3NdohGu10Rf0s09DE/ih9iH6DzX7k5Dxgn95Yx/W4PGc+rKyIxTQiWLK9Sr8lDtDnkwjtbpuf4XdjUmvbpuYmmmmuW2E0To13e2JcBgDd2FjxoLxTMwKmvanY2NDVf3Tkb7unqm9HH/pVHx6zQcwQecXNBc47+WAXMwuqZzDE0XYJmurl9pOJGXZLl9ZaT4sA8eppMbj2VlIeaW3YYxpZ4EOCF7QI5jW8zRd+quTREdj+TGFyFtc+xgogK7eoIobatiwgOf2I9wYYGNVfbVOLx1/GmzKRkApLaLXPlslGrx6PlNRYUiLJcHktXmtR6I8W5rtWqqLSZrIYsrDcWLByCkkSiTyz62fRTumgcp5JLpzpoJzOQgnkc0mvLdqxdOKGeypt31ZJ0vLawFtcZI2T1t4hXy5s0Mi3IWQyyFJergnV4nMO/ufGPRWwvDbJYw2whRmuynLHvgx66aGyhQ60z7xTVkAE+MEyAjuGFSAE5W6iHtWz8LIkhbQ14gm2lwytHdnC4JboFOyelRHt3NerupYBpkIqkR2/vcY/HtwhgxKNJtNj0yfkltDmxfrJHPWyauNdmthWZ1sQSnCGFTvXzUGibW6AbPrLAqRqOHjY0Zk2Ux91JXyWzIcA/TXQeqYCUNpEcTeTe1FVeziyg1zLBgreSabZHlXd3ZWUqWeFGr3yX29lYy7VpkhQhDY5pkUaDTbpxZ2sqhmzKavojVMoMqbdZS+DjhdiS4MAF3ZzvD6vaxHFHH5bdGa6dicPr6eBfVuRS8ehS4yZV4/JsJmLxXtZF8Ksr2ZZItUA8ntAEzU5jlcrNdV4lpXWEGesCWWvnJClgldFPBpz4UvkEf08sO5Nw36Pbr2p+jmnoYn8UPsQ/Qea/cnIeMcsFdDBW0l3XWdjMnTocIIBwjtls06k4nmK94URrWI5dfL2arwB1rJitqbCbMrJs2PPjSIB6ixkK2PYrJjleJI8eS0R3btHNaxUVEXyFrMU6OZV1Yyx4D4J4rYc+ZJISzu7NslxWxiOkzpDkUm/a9okVOMHbVT6y0fjMY4rVkKzrzPCNKuEj5GxJXMeNqwHeajvL7+cUM+ZVQrfIm5U+qgybisEY7bLGIVbCV6Ol/N+fLA5E37ezt8nBYcsfKkBVEKPex+1Vaj07w3PYvdd7S8YJ/eWMf1uDxl7y79H45bxWIMRTkfImwjQ4omCAwhXvNJO1qaJ7fGX46OJL//ADh1ZJ9aVXKSFMdzrS3pjVcDFRRkA543gzNySxiTtasZq6IjuKyJ1dpXElYF6kKwc2H4lBm10366LAy08XVjEjWUHHGMU6q3c0DU17vBB5jFOPIanMfVjTzbAPVshXsSLKuetv4Ywu5Y4FvUMivktVEa0jdjvNTjMTOLY28mp9Xk67qMmrz2sM9hcTa+8hV9dmNOZ8twM8BMntIvIkOaVwxO+AzWtfFO98Ox9Wpb0niy2coVbcOk49XnbjTo7OdCyF8OLPLF3c0iHMdE0Y5GtmWFglhExs2YesiGadvtXzJA5VDrT011Ga5II6WU9SFjlY0ukwG1vL1RyyPreS4ZIb6q8PdgG19q2WuQeCTPrF4HyFa4mZJlb0Qyf/VtUafJa8W475r35FLwMcOxEAJDPNkEuqEGSEQgMe5VJYvciaJpwubutLvI8ih4bTV9IAEJkBtNXCsa2XbdDAr4wrA03pgEaR5HEe5iKiJ2onDLfFWxm0pcr9XteOeGNYpQKwYMlNkSEFDdEaeGwRYfXKNW6qjWvdvb2U9pk3jHT1GCZ2iPeG2lMsJAc4GtJ4LHlp1xWSaVTjrhyPnHTd3VW6O4qFy3rRYI+w9ZunVrYMrW5I/JYa4823cx+iIzEkXw/mLy0/2u9xnY5rsuZagx6lH6mPFVtmX5WpScutNTMErTvuZWTaunatSSgXN6hGj7E17vj/guvkFs8Y6H3PkdvW/+P/TjIqBrkYW1qJsSO93mslPC7pHv/wCxklGqv7OJMGYAkaXDOWLKjmbsKCQB7hGCRq9rXjI1UXiH6DzX7k5D+nRlGJVhY9IHf2B9vxYUgPQkJmum3mnnoNGp5dNzk81f1FbUZ30GQq1rCWUYDZAJzWJtH4jCUgOeVjexCtex+3sXciNRBW5r6jlRRQMgho0bZ45DnW2P2lQB6sdGUbUGac1zu+vdRdNV4+0WM+/afR/H2ixn37T6P4+0WM+/afR/H2ixn37T6P4+0WM+/afR/DPGcrqwREcik8MiS5cl7fbazqkhCG53k3d7Ty6L5OPCceiqJj3IWZMO5Cz7A6N28+YdGs3qiea1qNGz4LU1X/hP/9oACAEBAwE/IcL1yeEobmwkBoBKIGv2SgkQrpfacOHDhwMa8IABTe5Y5WsGPzV1N8IBt6J+A78bCkHP5IDjIdRYvvFBOGSg9wJiqnedg6TincPwE2cOwLOkYDuvAdON1SNoPjUTAi6imAcLi6IERPZOnTp076fM9rW1w0PXwJYlWbXdyLsDg3kMfsYKIjTxUXVTc4PgUtSaFeGD3oZUQM2+LkMwirckDBosbFSwUxzL0UCMFog8Y8W0G1LQJsSlVQyYFaCuqkZujZZM1nGqGxmcbiEColLo/ExfBcIJhhXgFqNVSlO8SVkJZ9ynUAV8Mb8PMpn5l6SBthM9iQON+6LCVPYBrviKCbM6Ew6llwxdHoTpm/ed2xmhnaTQiB3j/Ks0m68YWlyvNgvig0N+J6EK8EBEG2cx0yr1Y+QaQdPV/K26JPdzsuCwE5n1AGRgZNQ/C5FYH/eugKapGDL0mVmdPFzZb6gX2oWPgfJBykfszbtptv3csJjwWwMWIEpjoxZiA97v4oWg0zRK3TJbguXsllPhfuLR5S0IOWDRdMWcbQfCXHrfl5KVsxSJwdExFPZ01oKBcaD+Fkaq+lKRBz0BEAVdQSFYsDAx3Q5XB2ewWORTROQw80gIxXhJ3Rcb/O3FtlDfhpxqpH2DiOkCk3ZbpAn8U/5EQywyrxgDAOh2YRnwbjSHDbAj+cx18MD7qywk8k8YqiBul6OnQwZCHZW6Giku0vgY/wCGsqIZ8sVzqRQHStDYtxycNHl+wATACEA1mxbuBT7kHiDJoEoICkNHIAFhvs14YCj7bIMEFLY4CEzqaFGJtVfXIsCM8G4kWd4hVisjYM4+OQ/IQwhiKhN4cYe7myAw5crr4BEbQaDkkyHq3VdJGVHNDt9NdXTEk/FohfcFhO0Z6N2ndOnQEIbvIDcKr9DPg2CQTdQtulM2px77Z9nvb2nVMSFQKy7kBWJcQvES7Hc32Ds58DyLgxst8D5d7wrlUAJQerDDcKz39Zh0CnBnd/Sr89QgvdlR1YA2nee7wRo4ZNG4+8NVxcB7+6AaWf6f8lRZkqh7YHhVYqoHAPUERA98IhehhlVxNpMH5X4Bsh8La+oR2FDO11GgMr08s9KhRe+32kUZLFapIkfeHraFjiGX+lBOn001w5YXI/7xSrSlKc4xJsmmwxq6J7gSlytpVM1v6jOhL4CVep8cEBBvAuMkx+sKFvZp0wH2WzZs2basmCTs0qQpvhUClrFuBVcFi8g/5H//2gAIAQIDAT8hw7f0nOD0bSbZwex7Z5/5emef+Xpnn/l6Z5/5emef+XpimCff+su0X4A2OBceNX7jQA8p9ej8B1L5G/5P3ky1VAjOoEXkOlOeLThx70dgfy9Izjq85MtmWzLZlsy0/wBsCPN+vgiSMcIYEGnVewfIfXNv5S6+fR9g7POOqQLewp0djif+0Zd3e/l2Z5OqYISC3XfIa0WcefpnzTuY6M3lyMuXLl92WiVtJB+38b+meunOH5qp9zZ5Z0Dd9p39n8U1ME3CD4fzTueEyZPBHwTr7stGqy6OU5Tek489eWdd8H12WvOUbhjFo7bb6r9eTrLOccTCu8lHZf4ZTMOQjhlCPwZpSHIKb4XBehx1uv3bhpH6m8eM8nOWbyvOD4qzrPclo+adzOALtX36b4VimNN9RI+lPrCz8v8ArPyvlyuCOgbXXKHB77+m/wBEgaQ+hrHjNS9MhkMhkMhkyBhPclonrBKhoF5/WbGicB1WrTk/h3xwkuE6u1fVbdSYlHUQdztfNhUnqiC0hy9+8+2CJTjPmncx4z9eHr49c9ccJq4+WGevHj36TEbQPcaFY5a+nH5+BUj1u/qYkdafXqfyz5d/rPl3+s+Xf6z5d/rPl3+st+0fJkEf2/8AJ//aAAgBAwMBPyHFEQu9B+u1fIL3xMzJFfNVOH7M/wBNn/TZ/wBNn/TZ/wBNlCJdEb/T7pnNEAf2dE7Jp+A09VHavP05zUOAPnq8r1d+4Fj80S/leU+4834Au46qC77I+z4KwtLdsNh6gXunOsZDBuA7tVfU9D2lVVVVWEKJYNzIsOlL3+A/Afp8DtH+E/rGjBx3S7+QCv264LSCwrTpbdz6E4yYqALaL3xGTc798UXB6F7BdHsmmnTIP4gJuvW67dvgsH4D9PiLGEv5w1e3E+uKXTI9x4zeGS8xj6OvXN0S7Fv4ebpL1Zs/9Hln4fgsH4D9PiLb9YURDQJ21IjscRTrSmuBEidiV65M6JQGwHJ5n7e+aOlk2UjlquI75xMlnypqHo0t5w0HoUR4RXzp315wXOUOyGfQPwH4D9PsC8ARa9XUQH4vouLlC850fm2mfgstUrBQ5ez54WGVaU4ACN746cdR5aGvdXX1S/AfgP0+IsuWiAx2DDe1yoBUQC3Dupwd+uB6bYMBqykHE1XBIaZV6XEumcJfZQ7S3F09MNPV8DgovLPS/wALjsAyJwjsfcC304F34fQV+Dr8DGjpNj9xDyRO03jBd7JvuvaDXPtLLLLLE+osH4p/Hrm8ZNBoOw/na9X/AJP/2gAMAwEAAhEDEQAAEA5JJAAAAAAAABKbbbaAAAAAAAEfiSTgAAAAAABbFFhXr/3wAAALSxTa8SfbQAABaWaLmY2/JGAALS8XTVW4ym8ABadROWQEEVYlkiTbbagAAAAAAAE9tsYAAAAAAAAAAAAAAAAAAAB//9oACAEBAwE/EPBWgsvSlSDj4Ml7TnRdRD2gj9nZs2bNgjO/VmBikGOiTK4woF96Ab4N8BCTEIOWBo6ROhyZXZ9ZMfbA4Ae3rkIXo+ecUZyPgON/DS+TmHGwJiRzcqFNS1Q+EVT4YvY9dFqrV9pHG7du3bmAMguHjuUd+CUlLI3pM6pGqB5UKWBv2sjJJcqkC3pR1zTwmZwrSa4mfqieMPBrPj+UNWqlvyxKQIc/iN6l835SAIMZvNcApKPhQvc4ZTaoANYM/wCJfjYxcyQVOm7/AED+O6LYnpjlvtYJyZByLgjDwqClhEfngAODD/EfFYkgydwz7vhTK1l7iv11m46Vog+v6rSK8gR4Yvw+xZF+g6K/lL1JG6bFS6ALzjL9YOgHgGnx+NeeDzgA5xkxQYfpDl8CY7GfinASyKttzNb18K893XnQuYSR8GoapSOsvPWtBmHl8Yk0Npm2miLk0sKhPea63MfSjoMhuVr0CektJM+GgKli8sMPb/QANFJ5D8cEjVR5SmjffBQn1EpYRNDUJhwrImD9QxdwYsYLxTkaV1PEP3rMQCofodqgDspAjNVEfDVdMweDM2vfYOpblgZWB8Jwy7FaZAWxZIyVHVwQti9YgeJhXczNjB+ygiIyMA9cpGM6NoIhbF4gA/h+ZyXA8C/jZWP8mEMAwHd7oStfxz5Tndmp0VoMAViwn4/b3C4HgKX/AJMYWoAboyZakRtjtUqXxITQYiUT2Y/kAGSHiJIkZR6GmdO422nmPAb4AzKdbySXMOcVeNzbxjWKIMVMkbHuzwAo+ia0jQYIsI4PxLMd5VyySadFnD8oZ6iARD8CS1ZRRY3SXQC2l2e4DIFQ4h+4BuZ6hkegL7crWa2T7yMNRKMLoBEf91f9Cq1gM/D8JsoZFRkVJIAUzbz2R0HBLdg27AEhEDj3mifVtWnhmjsQz5M6GoYM0OpMIFGBQHGaG/Oa9CVeIwR3Ci9DgxZBmIBNKQaDZnETMAEuuhwI1doxwhIhbgL8CNnCYJLgMhEIuUhfXU4RTwCoP/xA/kZ1RUxaKHB7rorPSBCa3K+092YVE0fSwkF9TkxR22IHOtLyaBZmhwYJTdNEJ5/D0PpnlB/4oZwzduvpODul5oQGq1sUmKR7We41sTaNl9RayOPwQU0f3sJf5X8RBzlWUUI5qHtCoUKFChVD0QVKNAjuGZsccCE2ZAbf/Jp//9oACAECAwE/EMBXUU3LzmgPNQ7Y7c6F0UNbEQeflvP8hj/IY/yGP8hj/IYFIjyID15fYXycG8cE/T1E6jE6/AbJUx3hQ+rrE0Jq/wBdg4Doa9wPbzuo/A87r0fI+AsKFKgUpwIP1Hr4fmDLkAOBMoBESXQFrPBSKJpnZhh217P79+/ft4egIC6qjBeUSdnj4D87+zwROLo5Emj0fPBxBHQdKsou0JwhdXHSvcEKqihIOztFyhJzXEHOsWDt4kRMRPISUsPIgiiIoiEgYhiFpapEaI2Yp2HiPKj2w1G+uTzuZovTJ7OTF3DEjG4Vrqe4/O/s8R9UC2d1cCldo5jdA5vgIaR0iaROiOk6OsuCI232SeiCdUPXG6SjuiJWlssI8ZUYtCGtIKaU060p2fE8gkeMqRdZaBdBnOnUyvLFhKbzlSHH4whVy+4/O/s8R6HG3oPE8oioUtirlgZ4FaFqHstKk65xnARkQpqXaQ2Aiql/CV26VwQ1GImA7DyvsgmmjQIAlqnHpVJBYrqNiUE2Y2kgXiKQrNEVllZc5vTOA3FJ9+MYR0DFJdZo7LP4xVB5/jKjOT9Z+8gC7pguzt7X539nsDzzNJTdAWDUIBHWDpkEs6OugUtSbncXgyUTMcY1r4LUWCaGputM8rQS2OQhSAYWWHGRV4ys9DBAenOfNXN1xEL0xbnABDEVmp64qhbMEePZ/O/s8R7ZIUhoxsgVBAbe0wCKIhL2tgGEm1IhpgDFaVLK9FQDqi8YgPhpiA0jLsk4qUp5z4QAAEoQ9TkLzo/prwPcnpkdnq/8++OzrwfvebvdTDh9Pm+eJvXE/rC8uK4cegnz3uVy5mdwWZC3hTFGt4f3hL6n7/rGRts1m555MNAHrNfmYEahEeRNI+nuB4iaiduX1MT6vT4GnGGwU+wr5iM5sMvYA9VGXXAhd8ce0MMMMM4wdUK/mD8+maUB2rtO6/oIHQ/5P//aAAgBAwMBPxDEiYmrO2gRtBCIBHDaXIQHeDCuthm2e0ECBAgQOgUdeQeR6Qd0zjoM9zohUdUhsU+ARzu6ghR1DV5GD4IN2OVeqVG0Vt9wdHyIHKlKPVB0OQp783FHUVo6Xz+l4TraY7H91YhIUI6MleA1Y1UkiilrJA9meeeec90FAyHf0TcEi0+BIKWQIlIo+6R8lOuLNMygZeGyYJYBEOC1W2m9SgWQJKhi7/xIILdwItvag4C2UJQJQiogF7shZK4RwfSpVgQCivhmdZvLly5cvvCB0120HByFHkiuqTlME0QyIAUJrY4VJBHE2PDFSUAlohb8cfAwQccGki4g46iqEis6OxQ109jNHJ0yZMmT3hA7X2qRdVFAanOoAw7w5T3FG1I2MgcCk5zDYSXcuqkEg4AlpRoARdocWTcRLG1bpKD1AGcJXmYQZNQhZQSM55daCgwoEMKFx4zyy7zeXBy68LM6z3RA7mTvYI5BGwuE1dq1DmqMaHVdE2HMqDLjvo0aLB4Oq4Dq4B577ShoYTuQCrgTxiBAVDcABdXHNTyznJkyGQ8NGE9yQOj8jrBlxAFQE0NQW46S+0c0bSKERLN0BNFIKI6OkT2HSBJSWKZRzJ17MRPwPBAJxBdt3kJkwl0xLFOEHkeTwzPGeXTw349fLweMTV64+XGGs/XiRFSk5SIPNkecx8rHUIA9RER7e4OilGVbjSc7NeLTh8CBIlUmLXVQ7bCoSlWqBVkIUKquhsWFc/zs/wDOz/zs/wDOz/zs29SajXouoOYbcRaTLFA212GXqmIpCf8AI//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4859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4" name="AutoShape 1" descr="data:image/jpeg;base64,/9j/4AAQSkZJRgABAgAAZABkAAD/7AARRHVja3kAAQAEAAAAZAAA/+ED9Gh0dHA6Ly9ucy5hZG9iZS5jb20veGFwLzEuMC8APD94cGFja2V0IGJlZ2luPSLvu78iIGlkPSJXNU0wTXBDZWhpSHpyZVN6TlRjemtjOWQiPz4gPHg6eG1wbWV0YSB4bWxuczp4PSJhZG9iZTpuczptZXRhLyIgeDp4bXB0az0iQWRvYmUgWE1QIENvcmUgNS4wLWMwNjEgNjQuMTQwOTQ5LCAyMDEwLzEyLzA3LTEwOjU3OjAxICAgICAgICAiPiA8cmRmOlJERiB4bWxuczpyZGY9Imh0dHA6Ly93d3cudzMub3JnLzE5OTkvMDIvMjItcmRmLXN5bnRheC1ucyMiPiA8cmRmOkRlc2NyaXB0aW9uIHJkZjphYm91dD0iIiB4bWxuczp4bXBNTT0iaHR0cDovL25zLmFkb2JlLmNvbS94YXAvMS4wL21tLyIgeG1sbnM6c3RSZWY9Imh0dHA6Ly9ucy5hZG9iZS5jb20veGFwLzEuMC9zVHlwZS9SZXNvdXJjZVJlZiMiIHhtbG5zOnhtcD0iaHR0cDovL25zLmFkb2JlLmNvbS94YXAvMS4wLyIgeG1sbnM6ZGM9Imh0dHA6Ly9wdXJsLm9yZy9kYy9lbGVtZW50cy8xLjEvIiB4bXBNTTpPcmlnaW5hbERvY3VtZW50SUQ9InV1aWQ6NUQyMDg5MjQ5M0JGREIxMTkxNEE4NTkwRDMxNTA4QzgiIHhtcE1NOkRvY3VtZW50SUQ9InhtcC5kaWQ6Nzc1QkVENTNFQjM2MTFFMjg3QThCREZDMkMzQThBNkMiIHhtcE1NOkluc3RhbmNlSUQ9InhtcC5paWQ6Nzc1QkVENTJFQjM2MTFFMjg3QThCREZDMkMzQThBNkMiIHhtcDpDcmVhdG9yVG9vbD0iQWRvYmUgSWxsdXN0cmF0b3IgQ1M1Ij4gPHhtcE1NOkRlcml2ZWRGcm9tIHN0UmVmOmluc3RhbmNlSUQ9InhtcC5paWQ6MDZDMDIwOTYxNzIwNjgxMTgwODNBNUYyNkU2REM4QTkiIHN0UmVmOmRvY3VtZW50SUQ9InhtcC5kaWQ6MDZDMDIwOTYxNzIwNjgxMTgwODNBNUYyNkU2REM4QTkiLz4gPGRjOnRpdGxlPiA8cmRmOkFsdD4gPHJkZjpsaSB4bWw6bGFuZz0ieC1kZWZhdWx0Ij5DTk1QX2Nvcl9wb3NpdGl2YTwvcmRmOmxpPiA8L3JkZjpBbHQ+IDwvZGM6dGl0bGU+IDwvcmRmOkRlc2NyaXB0aW9uPiA8L3JkZjpSREY+IDwveDp4bXBtZXRhPiA8P3hwYWNrZXQgZW5kPSJyIj8+/+0ASFBob3Rvc2hvcCAzLjAAOEJJTQQEAAAAAAAPHAFaAAMbJUccAgAAAgACADhCSU0EJQAAAAAAEPzhH4nIt8l4LzRiNAdYd+v/7gAmQWRvYmUAZMAAAAABAwAVBAMGCg0AAAzIAAAf5gAAJ9IAADCX/9sAhAABAQEBAQEBAQEBAQEBAQEBAQEBAQEBAQEBAQEBAQEBAQEBAQEBAQEBAQEBAgICAgICAgICAgIDAwMDAwMDAwMDAQEBAQEBAQIBAQICAgECAgMDAwMDAwMDAwMDAwMDAwMDAwMDAwMDAwMDAwMDAwMDAwMDAwMDAwMDAwMDAwMDAwP/wgARCABTAMYDAREAAhEBAxEB/8QBFQABAAEFAQEBAQAAAAAAAAAAAAgFBgcJCgQDAQIBAQACAgMBAAAAAAAAAAAAAAABBgQFAwcIAhAAAAUDAAYIBgIDAAAAAAAAAgMEBQYAAQcgMBMzNBURIxQWNjcIGBBAUDESNSEyQSIXEQABBAECAwMEDgkCBwEAAAADAQIEBQYREgATFCEiFTEydQcQQVGRQiMzJNUWNrbWNyBAYVKzlbV2lzBDUHGBYoJTNBcSAAECAgMIDgkEAwAAAAAAAAEAAhEDITESEEBBUXGhcgTwYYGRscHRIjKy0hMzsyDhQpLiI3OTNFBSFAVigkMTAQEAAgECAwgDAQEAAAAAAAERACExQVEQYXEgMEDwgZGhscHR8VDh/9oADAMBAAIRAxEAAAHf4R2wrBFfW2nGfHsgALu5MTZDu+uru5MQAAAAAACx+LN5NevfVWaOTTxtx7EAAJ77eidGt088gAAAAAAYCwt9zxUn0DsT2/XsQdbbsVcW0AAynkazpHvfnMAAAAAACM2DZOWyhenZOZNb8U/f144zty6PGEbK1uPKjbw2LM2Tp+nfsHytgqIrZ5z+S8j5F7zOT5AAARmwbJy2UL07JLIrsrs6ra0tT2PIfmr0ttjVIk4FrjLj2XM2Tp+pHsHytHCItIqhi2GQ5fpnmWcpkAACM2DZOWyhenZJZFdqE8eyfa9c6+9RfpcZ9TufKxY56+xYlja9Bt781au/hKaVSPMWmUU2S/c60PiJaykj9SABGbBsnLZQvTsksiu2nOVtW2fV2urUdhTN2VOu3OxI7aqw4hjbdE1781YHiLhKsXLM2rEeiWRk4MiPkSfma7IARmwbJy2UL07JLIrtRjjytyarxfXJKjKrFbyMfTJX+4spZWr6Y+wfKuqf4VguEx6e4qKKomY30jpC3YeI+R6Dad9zRuHZcmPXvquQPNoY249iAAEyNlUOmS8+bQAAAAAABCLVXWK2stGI+LbAAXJyY212wdWZhydQAAAAAAAAAAAAAAAAAAAP/9oACAEBAAEFAqnWUohj0uP+pNtkr37tG+vdo317tG+vdo317tG+mr1VxVSexvzPJW3XyV7JjUee3pykTtiXxxpenmarI3OtflIlCfj7kGMa9P0ZxhZ6mkUw8hkXIMY1yDGNcgxjXIMY1yDGNQZkx2VNtfmTyvrD55yeeYtx+fkeUrH3H5D6yRvHFsnZRx9bHEqyORGEKusc+YU0kgIhE0RGReV2y2xdlOzHFy2k/LjalMMyK1ksrvklnYlzBKkj8r08yeV9Yl8cel5QlFIFiRQ3q4W2rWt6xg8N+UYflluVM8orHPmFI2htf2FJEJKWyHYpf17KfiVQUtJwS5FXdcazVwZVuGihucZi7g3venmTyvrEvjjDjsQ15CzemZiI7jGSOqqbZebYdjxlj4GLKGOcUpIBkl1Rxc2F5vyEnIVQMsgMban7Mxcfmj3IsktLEHIcpNaYjlOUvK//ALW7OkavcwxOdmGYRyLsz9IUk10cyeV9Yl8cY58wsOrCMgY+QpD4dDfUZ4LwoVt8BYqUQfGjuhk50zzdMrtFosY8YvcsbtMLgkoj9sTwXsl8fRG7g5wbHKFucsUwZ2s0RZmYkTnEsc4/jcEc4FztE5trlo5k8r6xL44xAyKHKdQhyU4py9mV5KnWQvUAhC5wzFCK7fhJYjUt6nHPmFkNQUmghzUvSIXApud035O5sibm9M4x6SR5EncW4SkEparpLR6eDdf+GySBnL8fTApnWusCfe775EzUHalgEhaDpeO70zYryeJq0ilAqxL440sERZVJcjfIZLwZHMhnw704SWMST2pTGvalMa9qUxr2pTGvalMabPSe9CUwqCx2AtP0j//aAAgBAgABBQKjTyya7da9cwtXMLVzC1cwtXMLUFeXQRBHbXjF+ABCuMRf30kZtwG69R0bHqqRgIuYMJARdVXVV1VdVXVUVstrr1O4or+xJVzjPyDQLFbY8q5QjOiwqJ33x6dYp3FF/dH/ACZRf9yb2OAba9jKJ32h0fDo1KncUX9yd8qsWIAL/wC6gBJYQFgPJThKMGEFy1Pw6dDp+HTpqdxRf3J3yPrk1v4Cq3abg04iyxgHcxTr1O4ov7lb1OPYHKRgEcquHZpzAdkonfaj/GkYH8y726Ll/fSSAuM75A9KA6goRhvy8yuXmVy8yuXmVy8yrN4qKKAUH6R//9oACAEDAAEFAqQtitwufHDE5PdQyu6hld1DK7qGV3UMo2LKg2OINTGa9MTdQeSSWnKdeC0pAjCoRa9suOy/buVP6ly2KNU7jT7dyrbuVbdyrbuVbdypac4XRa9n/Z07WsJE5r7NyUBK+5Jyhx5a2L+Ypm4SkYacOA17P+zp14KTWF2cAgmBWGANJciRtitqMCampw4DXs/7OnXgncq5iBlEddQ5Jygo2kxWvOUbZscXQS9uKGpssZdez/s6deCcOAdwXQLxisrWR7jXm/Q/OgVriUNNZGy69n/Z068E7HWAiWlhdGlnJuiQMIrlrHUW0egiCMLhwGvRn9mVBEEYXXgtJ8UhTt3yDa9qG+yuRJlKfvSkrvSkrvSkrvSkrvSkoyVE/isWqF5v0j//2gAIAQICBj8CXOrVDcBzUro510c66OddHOujnXOBCtNpF4F+JWnVo6LuqfTs+y68HRqgq3bw7SjEl2IiHKoNcS3JxxEVW7eHaVbt4dpVu3h2lW7eHaVbt4dpNgXRtDAO1eDslyOGy7qlWAqBzc/JHcUDEyc9RKgOiajtKDaoDOAbjdIXg7JcOi7qlFmNhubjuoV/GfX7J4tnIiDXBvVFxukLwdkuHRd1Sm6QTdYlgQdsqqyxCjjryYc0Ux0oQLhGs7W3tp8+YPm048AyrunCBNRBPHEIMNYeOG8HZLh0XdUpukE7Vjio2bRp3UThq5eIZCVJ0Oypm7wLvXmkVDZQg91ZeOG8HZLh0XdUptIECDnQ2qDk2Uo2ejsjnipQBBsthQcnIniIiY4RiuN0heBZjCga0dF3VPpjEKbxtVPVYqOcQVYVYVYVYVYXOcIKyz9J/9oACAEDAgY/Al8gcz9xq2ZF3syaK2igfuIHGvGHu+teMPd9a8Ye7614w931rxh7vrUZUxjjvcqMqe0tmC8GSG1ucAhJlCEtoR05fmN9Mzv+0qncwjjvCUZYtPtVRhnpX47Pu/AgybLEvVyawbVOCmAhvJrpshpdDC+yTtwslfjs+78C/HZ934F+Oz7vwL8dn3fgX47Pu/ApofIYGd06J7yOA/4XhJ07hBqty/Mau+rfGAG2rT5xGs6LbI2qrUP9opmsSzDW7VkiAgSXWUYmzrTaHbRxwTnaw+0RMc2oDouhxXJ/0X9U3hJ07h05fmNUqaOi2ZSg9vRITCwxA1mWN6YIof22qj5ZomDj3eHKjNZ0HTZhG683J/0X9U3hJ07h05fmNUyBIssJwUwppiE7+s1mZMDQKADv017YgQuaXNayFlrTDnexgxqdI12aXS2UEc2BphTRVQpP9bqkx41V9mij2nkGmC/l6vNLmA0tcGngAT9ZFFqQ/gIOe8JOncOnL8xqn/Rf1SpH9lLqMI5RXvtUpjKZLG94d2hnG7cC1rS43LVj9PzCv4mrynNYTS50BVukp+rD2ZD+Axz3hJ07h05fmNUyXSZj2EAAE10IiUD3rQCBCmIwcIXea1ETXVxrAqaN5TzNa5omGiIOM8qkz2BxlS7ETZOB5JzK03oqf9F/VN4S5+BrgeVB7KWkI6cvzG+m8HpzBZG7XmvHuiLer4sWQrugx4daacGBwdxLw5mblXhzM3KvDmZuVeHMzcq8OZm5V8mU4u26OVd7POQYBk/Sf//aAAgBAQEGPwLhnj017552cyPUV42yrMw/JzOUpBCjhVU0R5nja5UXTXReBU1di04fNh28xJE2yALRtRUz7d7FECLJ7xgwFane7HO9zj7EzP54D6M4+xMz+eA+jOPsTM/ngPozj7EzP54D6M4+xMz+eA+jOBjtsduasb3bXSI5otmMKKvyhGfMzKxPb2Nc73EXgFvRWEezrpPyUmM7Vu5POGRjkaUBx694b0a9vtp+oXV/IbvFT1kywUWu1TOjAeQYEdoujjkRGJ+1eJ93byHSrGxkPkyTO/ed5GDb/thCzRrGJ2MYiInYnEP0Hmv3JyH9OFSOM5abKSJWyo6q5WMnua7wyYJnkQ/U6BVf/WVdfI3T/XysNnNLXQCVb2ypwIfiBYw+YL4xkLqInULr8HmM/wCfH5jXn+Pl/FnEyfVZNJyTJIsSQ0EOyqFo0iwZDemlygQXSp7ZqkGblOdznIxr11Ym5F4so1V6wLSNHHJKjokTFnX0WEXevMiAtPF6psoQHdjVa0ibeze5dV4/Ma8/x8v4s4/Ma8/x8v4s4/Ma8/x8v4s4/Ma8/wAfL+LOPzGvP8fL+LOMOLCz25mTB5Tj5IkQuDLEHKkstojgRySvrOfpmHKiNUmx+xF10XyfqGaehifxQ+xCKArxEbS5i5HDcrV1Hht8Vi9n7hRtcn7U4DSId8OACOSwt5rGo4keCF4x7QI/uLJkHMxjNfJqrtFRqpwSNDwaPLxkB3xWyy3eQtyKZFYbTxJJA7UdOGYQbdzB9Gomoui7l7/F3jdjANLw8VWa5iWxbGyDNg10LGmX5JL0iKNJLDA3K5qj3J2bdNNFA4QEtsStF8RojEKbp5kLVry1ppkUjCKWLzETex6K8TmP7N2iU8TG8fWnZJx3HrySUtpOsTELfU8W26ZOpJymAitltYio3c5Wquui6Jxgn95Yx/W4PGQZMQKyfBauVOZH8nPOMfzYLnfAYWQrUc74KLrxiuSPy8czrj01jltQesoYlHBopTGSrPwKQkIFsBYAXedJlSnEYiqm12nEWeSnySPX2tVa3OPTjxK0Ycjg0sR9lOfWs8WWTHL4WN0oTJo4jjAaqjR2mnFdehi3Myqs6t1kGYAVaNgTDuK7HzVExs21iEh2se6uIoCI9ECxTblJy2EewseVi2XR5UaotbyVFKHHUKCupbIdTYFRfrIoZatmnGgkjuN1KFaod6cZffkqrxsDC5kmHa6irOed8JgTTSQBeK/GijRTsKu9Ruc1dGI5+rOJddaV11HlRKqjs0G0FfIdMJkdi+op6iCOLZGKe2l2YDB2bUG3kucr0Hte64rOhsai4oSQ22tRatg9ZGHZAdIrpSFrJ1nXyIs0Q37HCO/vMc12jmqn+hmnoYn8UPsQ/Qea/cnIeMrpyEGKXb44rYb3+cvIPocYm7k5i7JKPVvl0H+xeJUGYJwJUOQaLJC9Fa8RwEcIo3IuiorXt04twzwOjFP6tc3njG9W8zpZ+CW8qIR7EVXC58cjXojtHbXIvkVOJfqfyo+2ziAJMwi1J2lC+KN5Eibl1cRYSKvd+HEV7E28tq8Q6ic1rJtXiGEV0xjXI9rJUHFKmNIa16dj2tKJe32/YwT+8sY/rcHi3pLjTwy1gSa+a5XtErAyhqFSMK/ujKNXasd7T0Tipxu/zyvPisFkaP1UCuLT5BeV0NrVrq+db+NyIbQOENqSXBAjpY27V0R79aLH5+R1Zq7D6C2psaIGqkjLKJPoC4zX2F4zr3Dc6pp5RERgFbzjLzFc1O5xaWNVZ1g1u6aHFtaOzqPE8alW77PHpOSTvDzmdy4+UVlC2MdqfGNeqGR/M7eBL4rj0kUWouq6orrCqtJ8PGiWl7EvILqQpLZkxoqEkFrAbnor0eTXRrtnGVUAcro4sHLra6sbUngMgsoobeo8LSGiuseUJoCjHIVw2tc549vYxVRZVhSLjOLNWJh0qBFoscZEiByfD7w95HtJcSNKigmRZr5hAEZ3S8lo/jNW8ZDlN7Nhy7vIhVEJwa6OUFdWVtKOUkWJFWSU0qQQx5xSmI5Wo5VaiMTb2/p5p6GJ/FD7EP0Hmv3JyHjF2nr40vxC7ra4cghrCPLryTZHRsPCNAlx0RznSdCNK0gyD1aqaKvFR60MZxnGZ0ifJirPs7CtfKkMbLEroMwsRsptSc4ZDOSbqwSF3uY34PDnSY9VZyMgWc7JLu9imsJEfH1imPkhG/OwRxjdUiLr3ddO4nYu3jD77CcVgVtrevdNh2RZNwSXVNBEiygSIiJbIFs0RZbFRXtIzu+avGc+svLcWpZuW0gb8Q5YnW8ePKWhxmHYV75MQdog9WqVGORmxHNb7vBsRyHDoNRYHhSJNVc45PuYhuZGTmHCaNPsrKI8nT6vY7YrU5eit7deMfxgpuo8Kz3FhikK3Yp4si0rJkIzmIrkY8sSQxXJquirxmYZIRSBLi969RHGwo1eKskmE5WERzdwysRzfcciLxi3qwy6KO7oru/9W156t7SzjMmfN5mY4x9ZsTM8rHtYevgzT7P34JXNVdFRnGS0PIgnqKDEL2XFEF6+IScnxuqj5FLguRvdDXGppexjkauhoxu3urtq7p1xiRB2wMWcrRUsjmRJ2QZPjtMaPFG7ICddXRoV8r2l87mBbu7CJpX5i11O2gtc+dh4aPoTrbRq4mQyMSj2Sz/EOWe2ZZg6l0fkoNY7tiLqnM4wmivHVVVd2tqQ04bK4qxb7D5WN3+Q113TPJPRYhYsihdAltXnIMr937qL6x7GpfThsMZtKibjzlC6bHm4leWIK2AWYFswTvEUcMzjbXog1cxNPbU4QSg9aISgcfloRgJqx2EY80ZpUVPlWk5e5FVjk7e3XjF8juh0V43M8Psbuvjw4EqoJUXEKPXSBimldZT2TaZ7bBN70aEg9uuui91MLyGTWWpJWI/WmPZVsAtX05YlpGqbGAaKWfYc0BSTBkjk3NdohGu10Rf0s09DE/ih9iH6DzX7k5Dxgn95Yx/W4PGc+rKyIxTQiWLK9Sr8lDtDnkwjtbpuf4XdjUmvbpuYmmmmuW2E0To13e2JcBgDd2FjxoLxTMwKmvanY2NDVf3Tkb7unqm9HH/pVHx6zQcwQecXNBc47+WAXMwuqZzDE0XYJmurl9pOJGXZLl9ZaT4sA8eppMbj2VlIeaW3YYxpZ4EOCF7QI5jW8zRd+quTREdj+TGFyFtc+xgogK7eoIobatiwgOf2I9wYYGNVfbVOLx1/GmzKRkApLaLXPlslGrx6PlNRYUiLJcHktXmtR6I8W5rtWqqLSZrIYsrDcWLByCkkSiTyz62fRTumgcp5JLpzpoJzOQgnkc0mvLdqxdOKGeypt31ZJ0vLawFtcZI2T1t4hXy5s0Mi3IWQyyFJergnV4nMO/ufGPRWwvDbJYw2whRmuynLHvgx66aGyhQ60z7xTVkAE+MEyAjuGFSAE5W6iHtWz8LIkhbQ14gm2lwytHdnC4JboFOyelRHt3NerupYBpkIqkR2/vcY/HtwhgxKNJtNj0yfkltDmxfrJHPWyauNdmthWZ1sQSnCGFTvXzUGibW6AbPrLAqRqOHjY0Zk2Ux91JXyWzIcA/TXQeqYCUNpEcTeTe1FVeziyg1zLBgreSabZHlXd3ZWUqWeFGr3yX29lYy7VpkhQhDY5pkUaDTbpxZ2sqhmzKavojVMoMqbdZS+DjhdiS4MAF3ZzvD6vaxHFHH5bdGa6dicPr6eBfVuRS8ehS4yZV4/JsJmLxXtZF8Ksr2ZZItUA8ntAEzU5jlcrNdV4lpXWEGesCWWvnJClgldFPBpz4UvkEf08sO5Nw36Pbr2p+jmnoYn8UPsQ/Qea/cnIeMcsFdDBW0l3XWdjMnTocIIBwjtls06k4nmK94URrWI5dfL2arwB1rJitqbCbMrJs2PPjSIB6ixkK2PYrJjleJI8eS0R3btHNaxUVEXyFrMU6OZV1Yyx4D4J4rYc+ZJISzu7NslxWxiOkzpDkUm/a9okVOMHbVT6y0fjMY4rVkKzrzPCNKuEj5GxJXMeNqwHeajvL7+cUM+ZVQrfIm5U+qgybisEY7bLGIVbCV6Ol/N+fLA5E37ezt8nBYcsfKkBVEKPex+1Vaj07w3PYvdd7S8YJ/eWMf1uDxl7y79H45bxWIMRTkfImwjQ4omCAwhXvNJO1qaJ7fGX46OJL//ADh1ZJ9aVXKSFMdzrS3pjVcDFRRkA543gzNySxiTtasZq6IjuKyJ1dpXElYF6kKwc2H4lBm10366LAy08XVjEjWUHHGMU6q3c0DU17vBB5jFOPIanMfVjTzbAPVshXsSLKuetv4Ywu5Y4FvUMivktVEa0jdjvNTjMTOLY28mp9Xk67qMmrz2sM9hcTa+8hV9dmNOZ8twM8BMntIvIkOaVwxO+AzWtfFO98Ox9Wpb0niy2coVbcOk49XnbjTo7OdCyF8OLPLF3c0iHMdE0Y5GtmWFglhExs2YesiGadvtXzJA5VDrT011Ga5II6WU9SFjlY0ukwG1vL1RyyPreS4ZIb6q8PdgG19q2WuQeCTPrF4HyFa4mZJlb0Qyf/VtUafJa8W475r35FLwMcOxEAJDPNkEuqEGSEQgMe5VJYvciaJpwubutLvI8ih4bTV9IAEJkBtNXCsa2XbdDAr4wrA03pgEaR5HEe5iKiJ2onDLfFWxm0pcr9XteOeGNYpQKwYMlNkSEFDdEaeGwRYfXKNW6qjWvdvb2U9pk3jHT1GCZ2iPeG2lMsJAc4GtJ4LHlp1xWSaVTjrhyPnHTd3VW6O4qFy3rRYI+w9ZunVrYMrW5I/JYa4823cx+iIzEkXw/mLy0/2u9xnY5rsuZagx6lH6mPFVtmX5WpScutNTMErTvuZWTaunatSSgXN6hGj7E17vj/guvkFs8Y6H3PkdvW/+P/TjIqBrkYW1qJsSO93mslPC7pHv/wCxklGqv7OJMGYAkaXDOWLKjmbsKCQB7hGCRq9rXjI1UXiH6DzX7k5D+nRlGJVhY9IHf2B9vxYUgPQkJmum3mnnoNGp5dNzk81f1FbUZ30GQq1rCWUYDZAJzWJtH4jCUgOeVjexCtex+3sXciNRBW5r6jlRRQMgho0bZ45DnW2P2lQB6sdGUbUGac1zu+vdRdNV4+0WM+/afR/H2ixn37T6P4+0WM+/afR/H2ixn37T6P4+0WM+/afR/DPGcrqwREcik8MiS5cl7fbazqkhCG53k3d7Ty6L5OPCceiqJj3IWZMO5Cz7A6N28+YdGs3qiea1qNGz4LU1X/hP/9oACAEBAwE/IcL1yeEobmwkBoBKIGv2SgkQrpfacOHDhwMa8IABTe5Y5WsGPzV1N8IBt6J+A78bCkHP5IDjIdRYvvFBOGSg9wJiqnedg6TincPwE2cOwLOkYDuvAdON1SNoPjUTAi6imAcLi6IERPZOnTp076fM9rW1w0PXwJYlWbXdyLsDg3kMfsYKIjTxUXVTc4PgUtSaFeGD3oZUQM2+LkMwirckDBosbFSwUxzL0UCMFog8Y8W0G1LQJsSlVQyYFaCuqkZujZZM1nGqGxmcbiEColLo/ExfBcIJhhXgFqNVSlO8SVkJZ9ynUAV8Mb8PMpn5l6SBthM9iQON+6LCVPYBrviKCbM6Ew6llwxdHoTpm/ed2xmhnaTQiB3j/Ks0m68YWlyvNgvig0N+J6EK8EBEG2cx0yr1Y+QaQdPV/K26JPdzsuCwE5n1AGRgZNQ/C5FYH/eugKapGDL0mVmdPFzZb6gX2oWPgfJBykfszbtptv3csJjwWwMWIEpjoxZiA97v4oWg0zRK3TJbguXsllPhfuLR5S0IOWDRdMWcbQfCXHrfl5KVsxSJwdExFPZ01oKBcaD+Fkaq+lKRBz0BEAVdQSFYsDAx3Q5XB2ewWORTROQw80gIxXhJ3Rcb/O3FtlDfhpxqpH2DiOkCk3ZbpAn8U/5EQywyrxgDAOh2YRnwbjSHDbAj+cx18MD7qywk8k8YqiBul6OnQwZCHZW6Giku0vgY/wCGsqIZ8sVzqRQHStDYtxycNHl+wATACEA1mxbuBT7kHiDJoEoICkNHIAFhvs14YCj7bIMEFLY4CEzqaFGJtVfXIsCM8G4kWd4hVisjYM4+OQ/IQwhiKhN4cYe7myAw5crr4BEbQaDkkyHq3VdJGVHNDt9NdXTEk/FohfcFhO0Z6N2ndOnQEIbvIDcKr9DPg2CQTdQtulM2px77Z9nvb2nVMSFQKy7kBWJcQvES7Hc32Ds58DyLgxst8D5d7wrlUAJQerDDcKz39Zh0CnBnd/Sr89QgvdlR1YA2nee7wRo4ZNG4+8NVxcB7+6AaWf6f8lRZkqh7YHhVYqoHAPUERA98IhehhlVxNpMH5X4Bsh8La+oR2FDO11GgMr08s9KhRe+32kUZLFapIkfeHraFjiGX+lBOn001w5YXI/7xSrSlKc4xJsmmwxq6J7gSlytpVM1v6jOhL4CVep8cEBBvAuMkx+sKFvZp0wH2WzZs2basmCTs0qQpvhUClrFuBVcFi8g/5H//2gAIAQIDAT8hw7f0nOD0bSbZwex7Z5/5emef+Xpnn/l6Z5/5emef+XpimCff+su0X4A2OBceNX7jQA8p9ej8B1L5G/5P3ky1VAjOoEXkOlOeLThx70dgfy9Izjq85MtmWzLZlsy0/wBsCPN+vgiSMcIYEGnVewfIfXNv5S6+fR9g7POOqQLewp0djif+0Zd3e/l2Z5OqYISC3XfIa0WcefpnzTuY6M3lyMuXLl92WiVtJB+38b+meunOH5qp9zZ5Z0Dd9p39n8U1ME3CD4fzTueEyZPBHwTr7stGqy6OU5Tek489eWdd8H12WvOUbhjFo7bb6r9eTrLOccTCu8lHZf4ZTMOQjhlCPwZpSHIKb4XBehx1uv3bhpH6m8eM8nOWbyvOD4qzrPclo+adzOALtX36b4VimNN9RI+lPrCz8v8ArPyvlyuCOgbXXKHB77+m/wBEgaQ+hrHjNS9MhkMhkMhkyBhPclonrBKhoF5/WbGicB1WrTk/h3xwkuE6u1fVbdSYlHUQdztfNhUnqiC0hy9+8+2CJTjPmncx4z9eHr49c9ccJq4+WGevHj36TEbQPcaFY5a+nH5+BUj1u/qYkdafXqfyz5d/rPl3+s+Xf6z5d/rPl3+st+0fJkEf2/8AJ//aAAgBAwMBPyHFEQu9B+u1fIL3xMzJFfNVOH7M/wBNn/TZ/wBNn/TZ/wBNlCJdEb/T7pnNEAf2dE7Jp+A09VHavP05zUOAPnq8r1d+4Fj80S/leU+4834Au46qC77I+z4KwtLdsNh6gXunOsZDBuA7tVfU9D2lVVVVWEKJYNzIsOlL3+A/Afp8DtH+E/rGjBx3S7+QCv264LSCwrTpbdz6E4yYqALaL3xGTc798UXB6F7BdHsmmnTIP4gJuvW67dvgsH4D9PiLGEv5w1e3E+uKXTI9x4zeGS8xj6OvXN0S7Fv4ebpL1Zs/9Hln4fgsH4D9PiLb9YURDQJ21IjscRTrSmuBEidiV65M6JQGwHJ5n7e+aOlk2UjlquI75xMlnypqHo0t5w0HoUR4RXzp315wXOUOyGfQPwH4D9PsC8ARa9XUQH4vouLlC850fm2mfgstUrBQ5ez54WGVaU4ACN746cdR5aGvdXX1S/AfgP0+IsuWiAx2DDe1yoBUQC3Dupwd+uB6bYMBqykHE1XBIaZV6XEumcJfZQ7S3F09MNPV8DgovLPS/wALjsAyJwjsfcC304F34fQV+Dr8DGjpNj9xDyRO03jBd7JvuvaDXPtLLLLLE+osH4p/Hrm8ZNBoOw/na9X/AJP/2gAMAwEAAhEDEQAAEA5JJAAAAAAAABKbbbaAAAAAAAEfiSTgAAAAAABbFFhXr/3wAAALSxTa8SfbQAABaWaLmY2/JGAALS8XTVW4ym8ABadROWQEEVYlkiTbbagAAAAAAAE9tsYAAAAAAAAAAAAAAAAAAAB//9oACAEBAwE/EPBWgsvSlSDj4Ml7TnRdRD2gj9nZs2bNgjO/VmBikGOiTK4woF96Ab4N8BCTEIOWBo6ROhyZXZ9ZMfbA4Ae3rkIXo+ecUZyPgON/DS+TmHGwJiRzcqFNS1Q+EVT4YvY9dFqrV9pHG7du3bmAMguHjuUd+CUlLI3pM6pGqB5UKWBv2sjJJcqkC3pR1zTwmZwrSa4mfqieMPBrPj+UNWqlvyxKQIc/iN6l835SAIMZvNcApKPhQvc4ZTaoANYM/wCJfjYxcyQVOm7/AED+O6LYnpjlvtYJyZByLgjDwqClhEfngAODD/EfFYkgydwz7vhTK1l7iv11m46Vog+v6rSK8gR4Yvw+xZF+g6K/lL1JG6bFS6ALzjL9YOgHgGnx+NeeDzgA5xkxQYfpDl8CY7GfinASyKttzNb18K893XnQuYSR8GoapSOsvPWtBmHl8Yk0Npm2miLk0sKhPea63MfSjoMhuVr0CektJM+GgKli8sMPb/QANFJ5D8cEjVR5SmjffBQn1EpYRNDUJhwrImD9QxdwYsYLxTkaV1PEP3rMQCofodqgDspAjNVEfDVdMweDM2vfYOpblgZWB8Jwy7FaZAWxZIyVHVwQti9YgeJhXczNjB+ygiIyMA9cpGM6NoIhbF4gA/h+ZyXA8C/jZWP8mEMAwHd7oStfxz5Tndmp0VoMAViwn4/b3C4HgKX/AJMYWoAboyZakRtjtUqXxITQYiUT2Y/kAGSHiJIkZR6GmdO422nmPAb4AzKdbySXMOcVeNzbxjWKIMVMkbHuzwAo+ia0jQYIsI4PxLMd5VyySadFnD8oZ6iARD8CS1ZRRY3SXQC2l2e4DIFQ4h+4BuZ6hkegL7crWa2T7yMNRKMLoBEf91f9Cq1gM/D8JsoZFRkVJIAUzbz2R0HBLdg27AEhEDj3mifVtWnhmjsQz5M6GoYM0OpMIFGBQHGaG/Oa9CVeIwR3Ci9DgxZBmIBNKQaDZnETMAEuuhwI1doxwhIhbgL8CNnCYJLgMhEIuUhfXU4RTwCoP/xA/kZ1RUxaKHB7rorPSBCa3K+092YVE0fSwkF9TkxR22IHOtLyaBZmhwYJTdNEJ5/D0PpnlB/4oZwzduvpODul5oQGq1sUmKR7We41sTaNl9RayOPwQU0f3sJf5X8RBzlWUUI5qHtCoUKFChVD0QVKNAjuGZsccCE2ZAbf/Jp//9oACAECAwE/EMBXUU3LzmgPNQ7Y7c6F0UNbEQeflvP8hj/IY/yGP8hj/IYFIjyID15fYXycG8cE/T1E6jE6/AbJUx3hQ+rrE0Jq/wBdg4Doa9wPbzuo/A87r0fI+AsKFKgUpwIP1Hr4fmDLkAOBMoBESXQFrPBSKJpnZhh217P79+/ft4egIC6qjBeUSdnj4D87+zwROLo5Emj0fPBxBHQdKsou0JwhdXHSvcEKqihIOztFyhJzXEHOsWDt4kRMRPISUsPIgiiIoiEgYhiFpapEaI2Yp2HiPKj2w1G+uTzuZovTJ7OTF3DEjG4Vrqe4/O/s8R9UC2d1cCldo5jdA5vgIaR0iaROiOk6OsuCI232SeiCdUPXG6SjuiJWlssI8ZUYtCGtIKaU060p2fE8gkeMqRdZaBdBnOnUyvLFhKbzlSHH4whVy+4/O/s8R6HG3oPE8oioUtirlgZ4FaFqHstKk65xnARkQpqXaQ2Aiql/CV26VwQ1GImA7DyvsgmmjQIAlqnHpVJBYrqNiUE2Y2kgXiKQrNEVllZc5vTOA3FJ9+MYR0DFJdZo7LP4xVB5/jKjOT9Z+8gC7pguzt7X539nsDzzNJTdAWDUIBHWDpkEs6OugUtSbncXgyUTMcY1r4LUWCaGputM8rQS2OQhSAYWWHGRV4ys9DBAenOfNXN1xEL0xbnABDEVmp64qhbMEePZ/O/s8R7ZIUhoxsgVBAbe0wCKIhL2tgGEm1IhpgDFaVLK9FQDqi8YgPhpiA0jLsk4qUp5z4QAAEoQ9TkLzo/prwPcnpkdnq/8++OzrwfvebvdTDh9Pm+eJvXE/rC8uK4cegnz3uVy5mdwWZC3hTFGt4f3hL6n7/rGRts1m555MNAHrNfmYEahEeRNI+nuB4iaiduX1MT6vT4GnGGwU+wr5iM5sMvYA9VGXXAhd8ce0MMMMM4wdUK/mD8+maUB2rtO6/oIHQ/5P//aAAgBAwMBPxDEiYmrO2gRtBCIBHDaXIQHeDCuthm2e0ECBAgQOgUdeQeR6Qd0zjoM9zohUdUhsU+ARzu6ghR1DV5GD4IN2OVeqVG0Vt9wdHyIHKlKPVB0OQp783FHUVo6Xz+l4TraY7H91YhIUI6MleA1Y1UkiilrJA9meeeec90FAyHf0TcEi0+BIKWQIlIo+6R8lOuLNMygZeGyYJYBEOC1W2m9SgWQJKhi7/xIILdwItvag4C2UJQJQiogF7shZK4RwfSpVgQCivhmdZvLly5cvvCB0120HByFHkiuqTlME0QyIAUJrY4VJBHE2PDFSUAlohb8cfAwQccGki4g46iqEis6OxQ109jNHJ0yZMmT3hA7X2qRdVFAanOoAw7w5T3FG1I2MgcCk5zDYSXcuqkEg4AlpRoARdocWTcRLG1bpKD1AGcJXmYQZNQhZQSM55daCgwoEMKFx4zyy7zeXBy68LM6z3RA7mTvYI5BGwuE1dq1DmqMaHVdE2HMqDLjvo0aLB4Oq4Dq4B577ShoYTuQCrgTxiBAVDcABdXHNTyznJkyGQ8NGE9yQOj8jrBlxAFQE0NQW46S+0c0bSKERLN0BNFIKI6OkT2HSBJSWKZRzJ17MRPwPBAJxBdt3kJkwl0xLFOEHkeTwzPGeXTw349fLweMTV64+XGGs/XiRFSk5SIPNkecx8rHUIA9RER7e4OilGVbjSc7NeLTh8CBIlUmLXVQ7bCoSlWqBVkIUKquhsWFc/zs/wDOz/zs/wDOz/zs29SajXouoOYbcRaTLFA212GXqmIpCf8AI//Z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4859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121920</xdr:colOff>
      <xdr:row>0</xdr:row>
      <xdr:rowOff>0</xdr:rowOff>
    </xdr:from>
    <xdr:to>
      <xdr:col>1</xdr:col>
      <xdr:colOff>594360</xdr:colOff>
      <xdr:row>6</xdr:row>
      <xdr:rowOff>91440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0"/>
          <a:ext cx="3406140" cy="129540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lebermatheus\Downloads\PLANILHA_DE_CUSTOS_TECNICO_DE_SUPORTE_TI_PLENO_2026_FINAL%20(1).xlsx" TargetMode="External"/><Relationship Id="rId1" Type="http://schemas.openxmlformats.org/officeDocument/2006/relationships/externalLinkPath" Target="file:///C:\Users\klebermatheus\Downloads\PLANILHA_DE_CUSTOS_TECNICO_DE_SUPORTE_TI_PLENO_2026_FINAL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ERÇÃO-DE-DADOS"/>
      <sheetName val="DADOS-ESTATISTICOS"/>
      <sheetName val="ENCARGOS-SOCIAIS-E-TRABALHISTAS"/>
      <sheetName val="POSTO 12x36 HORAS"/>
      <sheetName val="POSTO 40 HORAS"/>
    </sheetNames>
    <sheetDataSet>
      <sheetData sheetId="0" refreshError="1"/>
      <sheetData sheetId="1" refreshError="1"/>
      <sheetData sheetId="2" refreshError="1"/>
      <sheetData sheetId="3">
        <row r="30">
          <cell r="F30">
            <v>2326.8200000000002</v>
          </cell>
        </row>
        <row r="59">
          <cell r="F5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workbookViewId="0">
      <selection activeCell="C19" sqref="C19"/>
    </sheetView>
  </sheetViews>
  <sheetFormatPr defaultRowHeight="15" x14ac:dyDescent="0.25"/>
  <cols>
    <col min="1" max="1" width="42.7109375" customWidth="1"/>
    <col min="2" max="3" width="17.5703125" customWidth="1"/>
    <col min="4" max="4" width="18.5703125" customWidth="1"/>
    <col min="5" max="5" width="21.7109375" customWidth="1"/>
    <col min="6" max="6" width="17.7109375" bestFit="1" customWidth="1"/>
    <col min="7" max="7" width="16" bestFit="1" customWidth="1"/>
    <col min="8" max="8" width="16.7109375" customWidth="1"/>
    <col min="9" max="9" width="16" customWidth="1"/>
    <col min="10" max="10" width="15" customWidth="1"/>
    <col min="11" max="12" width="16.28515625" customWidth="1"/>
    <col min="13" max="13" width="16.7109375" customWidth="1"/>
  </cols>
  <sheetData>
    <row r="1" spans="1:11" ht="14.45" customHeight="1" x14ac:dyDescent="0.25">
      <c r="A1" s="132"/>
      <c r="B1" s="132"/>
      <c r="C1" s="4"/>
      <c r="D1" s="2"/>
      <c r="E1" s="2"/>
      <c r="F1" s="2"/>
      <c r="G1" s="2"/>
      <c r="H1" s="4"/>
      <c r="I1" s="4"/>
      <c r="J1" s="4"/>
      <c r="K1" s="4"/>
    </row>
    <row r="2" spans="1:11" ht="15.6" customHeight="1" x14ac:dyDescent="0.25">
      <c r="A2" s="132"/>
      <c r="B2" s="132"/>
      <c r="C2" s="4"/>
      <c r="D2" s="133" t="s">
        <v>0</v>
      </c>
      <c r="E2" s="133"/>
      <c r="F2" s="133"/>
      <c r="G2" s="133"/>
      <c r="H2" s="5"/>
      <c r="I2" s="5"/>
      <c r="J2" s="4"/>
      <c r="K2" s="4"/>
    </row>
    <row r="3" spans="1:11" ht="15.6" customHeight="1" x14ac:dyDescent="0.25">
      <c r="A3" s="132"/>
      <c r="B3" s="132"/>
      <c r="C3" s="4"/>
      <c r="D3" s="134" t="s">
        <v>1</v>
      </c>
      <c r="E3" s="134"/>
      <c r="F3" s="134"/>
      <c r="G3" s="134"/>
      <c r="H3" s="5"/>
      <c r="I3" s="5"/>
      <c r="J3" s="4"/>
      <c r="K3" s="4"/>
    </row>
    <row r="4" spans="1:11" ht="15.6" customHeight="1" x14ac:dyDescent="0.25">
      <c r="A4" s="132"/>
      <c r="B4" s="132"/>
      <c r="C4" s="4"/>
      <c r="D4" s="134" t="s">
        <v>2</v>
      </c>
      <c r="E4" s="134"/>
      <c r="F4" s="134"/>
      <c r="G4" s="134"/>
      <c r="H4" s="5"/>
      <c r="I4" s="5"/>
      <c r="J4" s="4"/>
      <c r="K4" s="4"/>
    </row>
    <row r="5" spans="1:11" ht="15.75" x14ac:dyDescent="0.25">
      <c r="A5" s="4"/>
      <c r="B5" s="134" t="s">
        <v>3</v>
      </c>
      <c r="C5" s="134"/>
      <c r="D5" s="134"/>
      <c r="E5" s="134"/>
      <c r="F5" s="134"/>
      <c r="G5" s="134"/>
      <c r="H5" s="134"/>
    </row>
    <row r="6" spans="1:11" ht="18.75" x14ac:dyDescent="0.3">
      <c r="B6" s="3"/>
      <c r="C6" s="3"/>
      <c r="D6" s="2"/>
      <c r="E6" s="2"/>
      <c r="F6" s="2"/>
      <c r="G6" s="2"/>
      <c r="H6" s="2"/>
      <c r="I6" s="2"/>
      <c r="J6" s="2"/>
      <c r="K6" s="2"/>
    </row>
    <row r="7" spans="1:11" ht="9" customHeight="1" x14ac:dyDescent="0.25">
      <c r="G7" s="1"/>
    </row>
    <row r="8" spans="1:11" ht="27.75" customHeight="1" x14ac:dyDescent="0.25">
      <c r="C8" t="s">
        <v>217</v>
      </c>
      <c r="G8" s="1"/>
    </row>
    <row r="9" spans="1:11" ht="66.599999999999994" customHeight="1" x14ac:dyDescent="0.25">
      <c r="A9" s="10" t="s">
        <v>4</v>
      </c>
      <c r="B9" s="11" t="s">
        <v>5</v>
      </c>
      <c r="C9" s="11" t="s">
        <v>218</v>
      </c>
      <c r="D9" s="12" t="s">
        <v>221</v>
      </c>
      <c r="E9" s="12" t="s">
        <v>219</v>
      </c>
      <c r="F9" s="12" t="s">
        <v>220</v>
      </c>
    </row>
    <row r="10" spans="1:11" ht="31.5" x14ac:dyDescent="0.25">
      <c r="A10" s="127" t="str">
        <f>TIPO_DE_SERVICO</f>
        <v>GERENTE DE SUPORTE TÉCNICO DE TECNOLOGIA DA INFORMAÇÃO</v>
      </c>
      <c r="B10" s="8">
        <f>EMPREG_POR_POSTO</f>
        <v>1</v>
      </c>
      <c r="C10" s="129">
        <f>GERENTE!VALOR_TOTAL_EMPREGADO_44H</f>
        <v>23343.36950940144</v>
      </c>
      <c r="D10" s="130">
        <f>C10*B10</f>
        <v>23343.36950940144</v>
      </c>
      <c r="E10" s="6">
        <f>D10*12</f>
        <v>280120.43411281728</v>
      </c>
      <c r="F10" s="6">
        <f>E10*5</f>
        <v>1400602.1705640864</v>
      </c>
    </row>
    <row r="11" spans="1:11" ht="47.25" x14ac:dyDescent="0.25">
      <c r="A11" s="128" t="str">
        <f>'INSERÇÃO-DE-DADOS'!C20</f>
        <v>TÉCNICO DE SUPORTE AO USUÁRIO DE TECNOLOGIA DA INFORMAÇÃO SÊNIOR</v>
      </c>
      <c r="B11" s="8">
        <f>'INSERÇÃO-DE-DADOS'!E20</f>
        <v>2</v>
      </c>
      <c r="C11" s="129">
        <f>'TEC SUPORTE SENIOR'!VALOR_TOTAL_EMPREGADO_44H</f>
        <v>8148.9159061282498</v>
      </c>
      <c r="D11" s="130">
        <f>C11*B11</f>
        <v>16297.8318122565</v>
      </c>
      <c r="E11" s="6">
        <f>D11*12</f>
        <v>195573.98174707801</v>
      </c>
      <c r="F11" s="6">
        <f t="shared" ref="F11:F14" si="0">E11*5</f>
        <v>977869.90873539005</v>
      </c>
    </row>
    <row r="12" spans="1:11" ht="47.25" x14ac:dyDescent="0.25">
      <c r="A12" s="128" t="str">
        <f>'INSERÇÃO-DE-DADOS'!C21</f>
        <v>TÉCNICO EM MANUTENÇÃO DE EQUIPAMENTOS DE INFORMÁTICA SÊNIOR</v>
      </c>
      <c r="B12" s="8">
        <f>'INSERÇÃO-DE-DADOS'!E21</f>
        <v>2</v>
      </c>
      <c r="C12" s="129">
        <f>'TEC MANUT SENIOR'!VALOR_TOTAL_EMPREGADO_44H</f>
        <v>8265.5713329044083</v>
      </c>
      <c r="D12" s="130">
        <f>C12*B12</f>
        <v>16531.142665808817</v>
      </c>
      <c r="E12" s="6">
        <f>D12*12</f>
        <v>198373.7119897058</v>
      </c>
      <c r="F12" s="6">
        <f t="shared" si="0"/>
        <v>991868.559948529</v>
      </c>
    </row>
    <row r="13" spans="1:11" ht="31.5" x14ac:dyDescent="0.25">
      <c r="A13" s="128" t="str">
        <f>'INSERÇÃO-DE-DADOS'!C22</f>
        <v>ANALISTA DE SUPORTE COMPUTACIONAL SÊNIOR</v>
      </c>
      <c r="B13" s="8">
        <f>'INSERÇÃO-DE-DADOS'!E22</f>
        <v>1</v>
      </c>
      <c r="C13" s="129">
        <f>'ANALISTA SUP SENIOR'!VALOR_TOTAL_EMPREGADO_44H</f>
        <v>17204.971003735562</v>
      </c>
      <c r="D13" s="130">
        <f>C13*B13</f>
        <v>17204.971003735562</v>
      </c>
      <c r="E13" s="6">
        <f>D13*12</f>
        <v>206459.65204482674</v>
      </c>
      <c r="F13" s="6">
        <f t="shared" si="0"/>
        <v>1032298.2602241337</v>
      </c>
    </row>
    <row r="14" spans="1:11" ht="47.25" x14ac:dyDescent="0.25">
      <c r="A14" s="128" t="str">
        <f>'INSERÇÃO-DE-DADOS'!C23</f>
        <v>TÉCNICO DE SUPORTE AO USUÁRIO DE TECNOLOGIA DA INFORMAÇÃO JÚNIOR</v>
      </c>
      <c r="B14" s="8">
        <f>'INSERÇÃO-DE-DADOS'!E23</f>
        <v>1</v>
      </c>
      <c r="C14" s="129">
        <f>'TEC SUPORTE JUNIOR'!VALOR_TOTAL_EMPREGADO_44H</f>
        <v>5241.0064315270183</v>
      </c>
      <c r="D14" s="130">
        <f>C14*B14</f>
        <v>5241.0064315270183</v>
      </c>
      <c r="E14" s="6">
        <f>D14*12</f>
        <v>62892.077178324223</v>
      </c>
      <c r="F14" s="6">
        <f t="shared" si="0"/>
        <v>314460.38589162112</v>
      </c>
    </row>
    <row r="15" spans="1:11" ht="29.45" customHeight="1" x14ac:dyDescent="0.25">
      <c r="A15" s="9" t="s">
        <v>6</v>
      </c>
      <c r="B15" s="8"/>
      <c r="C15" s="8"/>
      <c r="D15" s="131">
        <f>SUM(D10:D14)</f>
        <v>78618.321422729336</v>
      </c>
      <c r="E15" s="7">
        <f>SUM(E10:E14)</f>
        <v>943419.85707275209</v>
      </c>
      <c r="F15" s="7">
        <f>SUM(F10:F14)</f>
        <v>4717099.2853637608</v>
      </c>
    </row>
    <row r="16" spans="1:11" ht="22.9" customHeight="1" x14ac:dyDescent="0.25"/>
  </sheetData>
  <mergeCells count="5">
    <mergeCell ref="A1:B4"/>
    <mergeCell ref="D2:G2"/>
    <mergeCell ref="D3:G3"/>
    <mergeCell ref="D4:G4"/>
    <mergeCell ref="B5:H5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D5BF-F801-48E0-9C71-DAC4F32603E7}">
  <dimension ref="A1:Z1000"/>
  <sheetViews>
    <sheetView workbookViewId="0">
      <selection activeCell="F4" sqref="F4"/>
    </sheetView>
  </sheetViews>
  <sheetFormatPr defaultColWidth="12.5703125" defaultRowHeight="15" customHeight="1" x14ac:dyDescent="0.25"/>
  <cols>
    <col min="1" max="1" width="2.7109375" style="13" customWidth="1"/>
    <col min="2" max="2" width="8.85546875" style="13" customWidth="1"/>
    <col min="3" max="3" width="52.5703125" style="13" customWidth="1"/>
    <col min="4" max="4" width="9.5703125" style="13" customWidth="1"/>
    <col min="5" max="5" width="13.28515625" style="13" customWidth="1"/>
    <col min="6" max="6" width="21.7109375" style="13" customWidth="1"/>
    <col min="7" max="26" width="9.140625" style="13" customWidth="1"/>
    <col min="27" max="16384" width="12.5703125" style="13"/>
  </cols>
  <sheetData>
    <row r="1" spans="1:26" ht="25.5" x14ac:dyDescent="0.5">
      <c r="A1" s="24"/>
      <c r="B1" s="41" t="s">
        <v>60</v>
      </c>
      <c r="C1" s="14"/>
      <c r="D1" s="14"/>
      <c r="E1" s="14"/>
      <c r="F1" s="1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72.75" customHeight="1" x14ac:dyDescent="0.3">
      <c r="A2" s="14"/>
      <c r="B2" s="32" t="s">
        <v>59</v>
      </c>
      <c r="C2" s="14"/>
      <c r="D2" s="14"/>
      <c r="E2" s="40"/>
      <c r="F2" s="29" t="s">
        <v>207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6.5" customHeight="1" x14ac:dyDescent="0.3">
      <c r="A3" s="14"/>
      <c r="B3" s="28">
        <v>1</v>
      </c>
      <c r="C3" s="143" t="s">
        <v>58</v>
      </c>
      <c r="D3" s="136"/>
      <c r="E3" s="137"/>
      <c r="F3" s="23" t="s">
        <v>57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6.5" customHeight="1" x14ac:dyDescent="0.3">
      <c r="A4" s="14"/>
      <c r="B4" s="28" t="s">
        <v>16</v>
      </c>
      <c r="C4" s="139" t="s">
        <v>56</v>
      </c>
      <c r="D4" s="136"/>
      <c r="E4" s="137"/>
      <c r="F4" s="38">
        <v>220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.5" customHeight="1" x14ac:dyDescent="0.3">
      <c r="A5" s="14"/>
      <c r="B5" s="28" t="s">
        <v>14</v>
      </c>
      <c r="C5" s="145" t="s">
        <v>55</v>
      </c>
      <c r="D5" s="136"/>
      <c r="E5" s="137"/>
      <c r="F5" s="37">
        <v>7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6.5" customHeight="1" x14ac:dyDescent="0.3">
      <c r="A6" s="14"/>
      <c r="B6" s="28" t="s">
        <v>12</v>
      </c>
      <c r="C6" s="139" t="s">
        <v>54</v>
      </c>
      <c r="D6" s="136"/>
      <c r="E6" s="137"/>
      <c r="F6" s="38">
        <v>365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6.5" customHeight="1" x14ac:dyDescent="0.3">
      <c r="A7" s="14"/>
      <c r="B7" s="28" t="s">
        <v>53</v>
      </c>
      <c r="C7" s="145" t="s">
        <v>52</v>
      </c>
      <c r="D7" s="136"/>
      <c r="E7" s="137"/>
      <c r="F7" s="39">
        <v>15.2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6.5" customHeight="1" x14ac:dyDescent="0.3">
      <c r="A8" s="14"/>
      <c r="B8" s="28" t="s">
        <v>51</v>
      </c>
      <c r="C8" s="139" t="s">
        <v>50</v>
      </c>
      <c r="D8" s="136"/>
      <c r="E8" s="137"/>
      <c r="F8" s="38">
        <v>12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6.5" customHeight="1" x14ac:dyDescent="0.3">
      <c r="A9" s="14"/>
      <c r="B9" s="28" t="s">
        <v>49</v>
      </c>
      <c r="C9" s="145" t="s">
        <v>48</v>
      </c>
      <c r="D9" s="136"/>
      <c r="E9" s="137"/>
      <c r="F9" s="37">
        <v>60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6.5" customHeight="1" x14ac:dyDescent="0.3">
      <c r="A10" s="14"/>
      <c r="B10" s="28" t="s">
        <v>47</v>
      </c>
      <c r="C10" s="139" t="s">
        <v>46</v>
      </c>
      <c r="D10" s="136"/>
      <c r="E10" s="137"/>
      <c r="F10" s="36">
        <v>52.5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6.5" customHeight="1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6.5" customHeight="1" x14ac:dyDescent="0.3">
      <c r="A12" s="14"/>
      <c r="B12" s="32" t="s">
        <v>45</v>
      </c>
      <c r="C12" s="24"/>
      <c r="D12" s="24"/>
      <c r="E12" s="24"/>
      <c r="F12" s="24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5" customHeight="1" x14ac:dyDescent="0.3">
      <c r="A13" s="14"/>
      <c r="B13" s="28" t="s">
        <v>44</v>
      </c>
      <c r="C13" s="143" t="s">
        <v>43</v>
      </c>
      <c r="D13" s="137"/>
      <c r="E13" s="23" t="s">
        <v>42</v>
      </c>
      <c r="F13" s="23" t="s">
        <v>41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6.5" customHeight="1" x14ac:dyDescent="0.3">
      <c r="A14" s="19"/>
      <c r="B14" s="34" t="s">
        <v>24</v>
      </c>
      <c r="C14" s="144" t="s">
        <v>40</v>
      </c>
      <c r="D14" s="137"/>
      <c r="E14" s="33" t="s">
        <v>37</v>
      </c>
      <c r="F14" s="25">
        <v>6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6.5" customHeight="1" x14ac:dyDescent="0.3">
      <c r="A15" s="19"/>
      <c r="B15" s="34" t="s">
        <v>22</v>
      </c>
      <c r="C15" s="146" t="s">
        <v>39</v>
      </c>
      <c r="D15" s="137"/>
      <c r="E15" s="35" t="s">
        <v>37</v>
      </c>
      <c r="F15" s="26">
        <v>15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6.5" customHeight="1" x14ac:dyDescent="0.3">
      <c r="A16" s="19"/>
      <c r="B16" s="34" t="s">
        <v>20</v>
      </c>
      <c r="C16" s="144" t="s">
        <v>38</v>
      </c>
      <c r="D16" s="137"/>
      <c r="E16" s="33" t="s">
        <v>37</v>
      </c>
      <c r="F16" s="25">
        <v>21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6.5" customHeight="1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6.5" customHeight="1" x14ac:dyDescent="0.3">
      <c r="A18" s="19"/>
      <c r="B18" s="32" t="s">
        <v>36</v>
      </c>
      <c r="C18" s="31"/>
      <c r="D18" s="30"/>
      <c r="E18" s="29"/>
      <c r="F18" s="29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6.5" customHeight="1" x14ac:dyDescent="0.3">
      <c r="A19" s="19"/>
      <c r="B19" s="28">
        <v>3</v>
      </c>
      <c r="C19" s="138" t="s">
        <v>35</v>
      </c>
      <c r="D19" s="136"/>
      <c r="E19" s="137"/>
      <c r="F19" s="23" t="s">
        <v>25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6.5" customHeight="1" x14ac:dyDescent="0.3">
      <c r="A20" s="19"/>
      <c r="B20" s="28" t="s">
        <v>24</v>
      </c>
      <c r="C20" s="139" t="s">
        <v>34</v>
      </c>
      <c r="D20" s="136"/>
      <c r="E20" s="137"/>
      <c r="F20" s="27">
        <v>62.93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6.5" customHeight="1" x14ac:dyDescent="0.3">
      <c r="A21" s="19"/>
      <c r="B21" s="23" t="s">
        <v>22</v>
      </c>
      <c r="C21" s="142" t="s">
        <v>33</v>
      </c>
      <c r="D21" s="136"/>
      <c r="E21" s="137"/>
      <c r="F21" s="20">
        <v>5.55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 x14ac:dyDescent="0.25">
      <c r="A22" s="24"/>
      <c r="B22" s="23" t="s">
        <v>20</v>
      </c>
      <c r="C22" s="139" t="s">
        <v>32</v>
      </c>
      <c r="D22" s="136"/>
      <c r="E22" s="137"/>
      <c r="F22" s="25">
        <v>40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6.5" customHeight="1" x14ac:dyDescent="0.3">
      <c r="A23" s="19"/>
      <c r="B23" s="23" t="s">
        <v>18</v>
      </c>
      <c r="C23" s="142" t="s">
        <v>31</v>
      </c>
      <c r="D23" s="136"/>
      <c r="E23" s="137"/>
      <c r="F23" s="20">
        <v>94.45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6.5" customHeight="1" x14ac:dyDescent="0.3">
      <c r="A24" s="19"/>
      <c r="B24" s="23" t="s">
        <v>16</v>
      </c>
      <c r="C24" s="139" t="s">
        <v>30</v>
      </c>
      <c r="D24" s="136"/>
      <c r="E24" s="137"/>
      <c r="F24" s="25">
        <v>30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6.5" customHeight="1" x14ac:dyDescent="0.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6.5" customHeight="1" x14ac:dyDescent="0.3">
      <c r="A26" s="24"/>
      <c r="B26" s="32" t="s">
        <v>29</v>
      </c>
      <c r="C26" s="31"/>
      <c r="D26" s="30"/>
      <c r="E26" s="14"/>
      <c r="F26" s="1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" customHeight="1" x14ac:dyDescent="0.3">
      <c r="A27" s="24"/>
      <c r="B27" s="32" t="s">
        <v>28</v>
      </c>
      <c r="C27" s="31"/>
      <c r="D27" s="30"/>
      <c r="E27" s="29"/>
      <c r="F27" s="29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6.5" customHeight="1" x14ac:dyDescent="0.25">
      <c r="A28" s="24"/>
      <c r="B28" s="28" t="s">
        <v>27</v>
      </c>
      <c r="C28" s="143" t="s">
        <v>26</v>
      </c>
      <c r="D28" s="136"/>
      <c r="E28" s="137"/>
      <c r="F28" s="23" t="s">
        <v>25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6.5" customHeight="1" x14ac:dyDescent="0.25">
      <c r="A29" s="24"/>
      <c r="B29" s="28" t="s">
        <v>24</v>
      </c>
      <c r="C29" s="139" t="s">
        <v>23</v>
      </c>
      <c r="D29" s="136"/>
      <c r="E29" s="137"/>
      <c r="F29" s="25">
        <v>8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6.5" customHeight="1" x14ac:dyDescent="0.3">
      <c r="A30" s="24"/>
      <c r="B30" s="23" t="s">
        <v>22</v>
      </c>
      <c r="C30" s="135" t="s">
        <v>21</v>
      </c>
      <c r="D30" s="136"/>
      <c r="E30" s="137"/>
      <c r="F30" s="26">
        <v>5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6.5" customHeight="1" x14ac:dyDescent="0.3">
      <c r="A31" s="24"/>
      <c r="B31" s="23" t="s">
        <v>20</v>
      </c>
      <c r="C31" s="139" t="s">
        <v>19</v>
      </c>
      <c r="D31" s="136"/>
      <c r="E31" s="137"/>
      <c r="F31" s="27">
        <v>1.42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6.5" customHeight="1" x14ac:dyDescent="0.3">
      <c r="A32" s="24"/>
      <c r="B32" s="23" t="s">
        <v>18</v>
      </c>
      <c r="C32" s="135" t="s">
        <v>17</v>
      </c>
      <c r="D32" s="136"/>
      <c r="E32" s="137"/>
      <c r="F32" s="20">
        <v>86.46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 x14ac:dyDescent="0.3">
      <c r="A33" s="14"/>
      <c r="B33" s="23" t="s">
        <v>16</v>
      </c>
      <c r="C33" s="139" t="s">
        <v>15</v>
      </c>
      <c r="D33" s="136"/>
      <c r="E33" s="137"/>
      <c r="F33" s="27">
        <f>(154800/34808000)*100</f>
        <v>0.44472535049413925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3">
      <c r="A34" s="24"/>
      <c r="B34" s="23" t="s">
        <v>14</v>
      </c>
      <c r="C34" s="135" t="s">
        <v>13</v>
      </c>
      <c r="D34" s="136"/>
      <c r="E34" s="137"/>
      <c r="F34" s="26">
        <v>15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 x14ac:dyDescent="0.3">
      <c r="A35" s="24"/>
      <c r="B35" s="23" t="s">
        <v>12</v>
      </c>
      <c r="C35" s="139" t="s">
        <v>11</v>
      </c>
      <c r="D35" s="136"/>
      <c r="E35" s="137"/>
      <c r="F35" s="25">
        <v>120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6.5" customHeight="1" x14ac:dyDescent="0.3">
      <c r="A36" s="24"/>
      <c r="B36" s="23" t="s">
        <v>10</v>
      </c>
      <c r="C36" s="135" t="s">
        <v>9</v>
      </c>
      <c r="D36" s="136"/>
      <c r="E36" s="137"/>
      <c r="F36" s="20">
        <v>13.54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6.5" customHeight="1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6.5" customHeight="1" x14ac:dyDescent="0.3">
      <c r="A38" s="14"/>
      <c r="B38" s="18" t="s">
        <v>8</v>
      </c>
      <c r="C38" s="17"/>
      <c r="D38" s="17"/>
      <c r="E38" s="17"/>
      <c r="F38" s="16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3.75" customHeight="1" x14ac:dyDescent="0.3">
      <c r="A39" s="14"/>
      <c r="B39" s="140" t="s">
        <v>7</v>
      </c>
      <c r="C39" s="141"/>
      <c r="D39" s="141"/>
      <c r="E39" s="141"/>
      <c r="F39" s="141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6.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6.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6.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6.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6.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6.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6.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6.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6.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6.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6.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6.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6.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6.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6.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6.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6.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6.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6.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6.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6.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6.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6.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6.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6.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6.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6.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6.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6.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6.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6.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6.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6.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6.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6.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6.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6.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6.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6.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6.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6.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6.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6.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6.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6.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6.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6.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6.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6.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6.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6.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6.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6.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6.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6.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6.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6.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6.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6.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6.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6.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6.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6.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6.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6.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6.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6.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6.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6.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6.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6.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6.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6.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6.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6.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6.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6.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6.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6.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6.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6.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6.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6.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6.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6.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6.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6.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6.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6.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6.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6.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6.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6.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6.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6.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6.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6.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6.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6.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6.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6.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6.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6.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6.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6.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6.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6.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6.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6.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6.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6.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6.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6.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6.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6.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6.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6.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6.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6.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6.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6.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6.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6.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6.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6.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6.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6.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6.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6.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6.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6.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6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6.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6.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6.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6.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6.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6.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6.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6.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6.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6.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6.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6.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6.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6.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6.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6.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6.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6.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6.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6.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6.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6.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6.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6.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6.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6.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6.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6.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6.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6.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6.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6.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6.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6.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6.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6.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6.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6.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6.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6.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6.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6.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6.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6.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6.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6.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6.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6.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6.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6.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6.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6.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6.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6.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6.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6.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6.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6.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6.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6.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6.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6.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6.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6.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6.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6.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6.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6.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6.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6.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6.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6.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6.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6.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6.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6.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6.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6.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6.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6.5" customHeight="1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6.5" customHeight="1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6.5" customHeight="1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6.5" customHeight="1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6.5" customHeight="1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6.5" customHeight="1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6.5" customHeight="1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6.5" customHeight="1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6.5" customHeight="1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6.5" customHeight="1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6.5" customHeight="1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6.5" customHeight="1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6.5" customHeight="1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6.5" customHeight="1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6.5" customHeight="1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6.5" customHeight="1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6.5" customHeight="1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6.5" customHeight="1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6.5" customHeight="1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6.5" customHeight="1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6.5" customHeight="1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6.5" customHeight="1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6.5" customHeight="1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6.5" customHeight="1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6.5" customHeight="1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6.5" customHeight="1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6.5" customHeight="1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6.5" customHeight="1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6.5" customHeight="1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6.5" customHeight="1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6.5" customHeight="1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6.5" customHeight="1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6.5" customHeight="1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6.5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6.5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6.5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6.5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6.5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6.5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6.5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6.5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6.5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6.5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6.5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6.5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6.5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6.5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6.5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6.5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6.5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6.5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6.5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6.5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6.5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6.5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6.5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6.5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6.5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6.5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6.5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6.5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6.5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6.5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6.5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6.5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6.5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6.5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6.5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6.5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6.5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6.5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6.5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6.5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6.5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6.5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6.5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6.5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6.5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6.5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6.5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6.5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6.5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6.5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6.5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6.5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6.5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6.5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6.5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6.5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6.5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6.5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6.5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6.5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6.5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6.5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6.5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6.5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6.5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6.5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6.5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6.5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6.5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6.5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6.5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6.5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6.5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6.5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6.5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6.5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6.5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6.5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6.5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6.5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6.5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6.5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6.5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6.5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6.5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6.5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6.5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6.5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6.5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6.5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6.5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6.5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6.5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6.5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6.5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6.5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6.5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6.5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6.5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6.5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6.5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6.5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6.5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6.5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6.5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6.5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6.5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6.5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6.5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6.5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6.5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6.5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6.5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6.5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6.5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6.5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6.5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6.5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6.5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6.5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6.5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6.5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6.5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6.5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6.5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6.5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6.5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6.5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6.5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6.5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6.5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6.5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6.5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6.5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6.5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6.5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6.5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6.5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6.5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6.5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6.5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6.5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6.5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6.5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6.5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6.5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6.5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6.5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6.5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6.5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6.5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6.5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6.5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6.5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6.5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6.5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6.5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6.5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6.5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6.5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6.5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6.5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6.5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6.5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6.5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6.5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6.5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6.5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6.5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6.5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6.5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6.5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6.5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6.5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6.5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6.5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6.5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6.5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6.5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6.5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6.5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6.5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6.5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6.5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6.5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6.5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6.5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6.5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6.5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6.5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6.5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6.5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6.5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6.5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6.5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6.5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6.5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6.5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6.5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6.5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6.5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6.5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6.5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6.5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6.5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6.5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6.5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6.5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6.5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6.5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6.5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6.5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6.5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6.5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6.5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6.5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6.5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6.5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6.5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6.5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6.5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6.5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6.5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6.5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6.5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6.5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6.5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6.5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6.5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6.5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6.5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6.5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6.5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6.5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6.5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6.5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6.5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6.5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6.5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6.5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6.5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6.5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6.5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6.5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6.5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6.5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6.5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6.5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6.5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6.5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6.5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6.5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6.5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6.5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6.5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6.5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6.5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6.5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6.5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6.5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6.5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6.5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6.5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6.5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6.5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6.5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6.5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6.5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6.5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6.5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6.5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6.5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6.5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6.5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6.5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6.5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6.5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6.5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6.5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6.5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6.5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6.5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6.5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6.5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6.5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6.5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6.5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6.5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6.5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6.5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6.5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6.5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6.5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6.5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6.5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6.5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6.5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6.5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6.5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6.5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6.5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6.5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6.5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6.5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6.5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6.5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6.5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6.5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6.5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6.5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6.5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6.5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6.5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6.5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6.5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6.5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6.5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6.5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6.5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6.5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6.5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6.5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6.5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6.5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6.5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6.5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6.5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6.5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6.5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6.5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6.5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6.5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6.5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6.5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6.5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6.5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6.5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6.5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6.5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6.5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6.5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6.5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6.5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6.5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6.5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6.5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6.5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6.5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6.5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6.5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6.5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6.5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6.5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6.5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6.5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6.5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6.5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6.5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6.5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6.5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6.5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6.5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6.5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6.5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6.5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6.5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6.5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6.5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6.5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6.5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6.5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6.5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6.5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6.5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6.5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6.5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6.5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6.5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6.5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6.5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6.5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6.5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6.5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6.5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6.5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6.5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6.5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6.5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6.5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6.5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6.5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6.5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6.5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6.5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6.5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6.5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6.5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6.5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6.5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6.5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6.5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6.5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6.5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6.5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6.5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6.5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6.5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6.5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6.5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6.5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6.5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6.5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6.5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6.5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6.5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6.5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6.5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6.5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6.5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6.5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6.5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6.5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6.5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6.5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6.5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6.5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6.5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6.5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6.5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6.5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6.5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6.5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6.5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6.5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6.5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6.5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6.5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6.5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6.5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6.5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6.5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6.5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6.5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6.5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6.5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6.5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6.5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6.5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6.5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6.5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6.5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6.5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6.5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6.5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6.5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6.5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6.5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6.5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6.5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6.5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6.5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6.5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6.5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6.5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6.5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6.5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6.5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6.5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6.5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6.5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6.5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6.5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6.5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6.5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6.5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6.5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6.5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6.5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6.5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6.5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6.5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6.5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6.5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6.5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6.5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6.5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6.5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6.5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6.5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6.5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6.5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6.5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6.5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6.5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6.5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6.5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6.5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6.5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6.5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6.5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6.5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6.5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6.5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6.5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6.5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6.5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6.5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6.5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6.5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6.5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6.5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6.5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6.5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6.5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6.5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6.5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6.5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6.5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6.5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6.5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6.5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6.5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6.5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6.5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6.5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6.5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6.5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6.5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6.5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6.5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6.5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6.5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6.5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6.5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6.5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6.5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6.5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6.5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6.5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6.5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6.5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6.5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6.5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6.5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6.5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6.5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6.5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6.5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6.5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6.5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6.5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6.5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6.5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6.5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6.5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6.5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6.5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6.5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6.5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6.5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6.5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6.5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6.5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6.5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6.5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6.5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6.5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6.5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6.5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6.5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6.5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6.5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6.5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6.5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6.5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6.5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6.5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6.5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6.5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6.5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6.5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6.5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6.5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6.5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6.5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6.5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6.5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6.5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6.5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6.5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6.5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6.5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6.5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6.5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6.5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6.5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6.5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6.5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6.5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6.5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6.5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6.5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6.5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6.5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6.5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6.5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6.5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6.5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6.5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6.5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6.5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6.5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6.5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6.5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6.5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6.5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6.5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6.5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6.5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6.5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6.5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6.5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6.5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6.5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6.5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6.5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6.5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6.5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6.5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6.5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6.5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6.5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6.5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6.5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6.5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6.5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6.5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6.5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6.5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6.5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6.5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6.5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6.5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6.5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6.5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6.5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6.5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6.5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6.5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6.5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6.5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6.5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6.5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6.5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6.5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6.5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6.5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6.5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6.5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6.5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6.5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6.5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6.5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6.5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6.5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6.5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6.5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6.5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6.5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6.5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6.5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6.5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6.5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6.5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6.5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6.5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6.5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6.5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6.5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6.5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6.5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6.5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6.5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6.5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6.5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6.5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6.5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6.5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6.5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6.5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6.5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6.5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6.5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6.5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6.5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6.5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6.5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6.5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6.5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6.5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6.5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6.5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6.5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6.5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6.5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6.5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6.5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6.5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6.5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6.5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6.5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6.5" customHeight="1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6.5" customHeight="1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6.5" customHeight="1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6.5" customHeight="1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28">
    <mergeCell ref="C16:D16"/>
    <mergeCell ref="C3:E3"/>
    <mergeCell ref="C4:E4"/>
    <mergeCell ref="C5:E5"/>
    <mergeCell ref="C6:E6"/>
    <mergeCell ref="C7:E7"/>
    <mergeCell ref="C8:E8"/>
    <mergeCell ref="C9:E9"/>
    <mergeCell ref="C10:E10"/>
    <mergeCell ref="C13:D13"/>
    <mergeCell ref="C14:D14"/>
    <mergeCell ref="C15:D15"/>
    <mergeCell ref="C36:E36"/>
    <mergeCell ref="C19:E19"/>
    <mergeCell ref="C20:E20"/>
    <mergeCell ref="C31:E31"/>
    <mergeCell ref="B39:F39"/>
    <mergeCell ref="C21:E21"/>
    <mergeCell ref="C22:E22"/>
    <mergeCell ref="C23:E23"/>
    <mergeCell ref="C24:E24"/>
    <mergeCell ref="C28:E28"/>
    <mergeCell ref="C29:E29"/>
    <mergeCell ref="C30:E30"/>
    <mergeCell ref="C32:E32"/>
    <mergeCell ref="C33:E33"/>
    <mergeCell ref="C34:E34"/>
    <mergeCell ref="C35:E35"/>
  </mergeCells>
  <pageMargins left="0.17" right="0.17" top="0.28999999999999998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E5303-BE3A-4F22-8CB5-22025A043745}">
  <sheetPr>
    <pageSetUpPr fitToPage="1"/>
  </sheetPr>
  <dimension ref="A1:Z1000"/>
  <sheetViews>
    <sheetView workbookViewId="0">
      <selection activeCell="C22" sqref="C22:D22"/>
    </sheetView>
  </sheetViews>
  <sheetFormatPr defaultColWidth="12.5703125" defaultRowHeight="14.25" x14ac:dyDescent="0.25"/>
  <cols>
    <col min="1" max="1" width="2.7109375" style="13" customWidth="1"/>
    <col min="2" max="2" width="8.85546875" style="13" customWidth="1"/>
    <col min="3" max="3" width="52.5703125" style="13" customWidth="1"/>
    <col min="4" max="4" width="22" style="13" customWidth="1"/>
    <col min="5" max="5" width="7" style="13" customWidth="1"/>
    <col min="6" max="6" width="46" style="13" customWidth="1"/>
    <col min="7" max="26" width="9.140625" style="13" customWidth="1"/>
    <col min="27" max="16384" width="12.5703125" style="13"/>
  </cols>
  <sheetData>
    <row r="1" spans="1:26" ht="25.5" x14ac:dyDescent="0.5">
      <c r="A1" s="24"/>
      <c r="B1" s="41" t="s">
        <v>104</v>
      </c>
      <c r="C1" s="14"/>
      <c r="D1" s="14"/>
      <c r="E1" s="14"/>
      <c r="F1" s="1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6.5" x14ac:dyDescent="0.3">
      <c r="A2" s="14"/>
      <c r="B2" s="32" t="s">
        <v>103</v>
      </c>
      <c r="C2" s="14"/>
      <c r="D2" s="14"/>
      <c r="E2" s="47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6.5" x14ac:dyDescent="0.3">
      <c r="A3" s="14"/>
      <c r="B3" s="32" t="s">
        <v>102</v>
      </c>
      <c r="C3" s="31"/>
      <c r="D3" s="30"/>
      <c r="E3" s="29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6.5" x14ac:dyDescent="0.3">
      <c r="A4" s="14"/>
      <c r="B4" s="28" t="s">
        <v>101</v>
      </c>
      <c r="C4" s="138" t="s">
        <v>100</v>
      </c>
      <c r="D4" s="137"/>
      <c r="E4" s="23" t="s">
        <v>41</v>
      </c>
      <c r="F4" s="23" t="s">
        <v>72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.5" x14ac:dyDescent="0.3">
      <c r="A5" s="14"/>
      <c r="B5" s="28" t="s">
        <v>24</v>
      </c>
      <c r="C5" s="139" t="s">
        <v>99</v>
      </c>
      <c r="D5" s="137"/>
      <c r="E5" s="44">
        <f>(1/MESES_NO_ANO)*100</f>
        <v>8.3333333333333321</v>
      </c>
      <c r="F5" s="44" t="s">
        <v>98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6.5" x14ac:dyDescent="0.3">
      <c r="A6" s="14"/>
      <c r="B6" s="23" t="s">
        <v>22</v>
      </c>
      <c r="C6" s="135" t="s">
        <v>97</v>
      </c>
      <c r="D6" s="137"/>
      <c r="E6" s="42">
        <f>(1/3)/MESES_NO_ANO*100</f>
        <v>2.7777777777777777</v>
      </c>
      <c r="F6" s="42" t="s">
        <v>96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6.5" x14ac:dyDescent="0.3">
      <c r="A7" s="19"/>
      <c r="B7" s="149" t="s">
        <v>95</v>
      </c>
      <c r="C7" s="150"/>
      <c r="D7" s="150"/>
      <c r="E7" s="150"/>
      <c r="F7" s="150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6.5" x14ac:dyDescent="0.3">
      <c r="A8" s="19"/>
      <c r="B8" s="28" t="s">
        <v>94</v>
      </c>
      <c r="C8" s="143" t="s">
        <v>93</v>
      </c>
      <c r="D8" s="137"/>
      <c r="E8" s="23" t="s">
        <v>41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6.5" x14ac:dyDescent="0.3">
      <c r="A9" s="14"/>
      <c r="B9" s="28" t="s">
        <v>24</v>
      </c>
      <c r="C9" s="139" t="s">
        <v>92</v>
      </c>
      <c r="D9" s="137"/>
      <c r="E9" s="44">
        <v>20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6.5" x14ac:dyDescent="0.25">
      <c r="A10" s="24"/>
      <c r="B10" s="23" t="s">
        <v>22</v>
      </c>
      <c r="C10" s="135" t="s">
        <v>91</v>
      </c>
      <c r="D10" s="137"/>
      <c r="E10" s="43">
        <v>2.5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6.5" x14ac:dyDescent="0.25">
      <c r="A11" s="24"/>
      <c r="B11" s="23" t="s">
        <v>20</v>
      </c>
      <c r="C11" s="139" t="s">
        <v>90</v>
      </c>
      <c r="D11" s="137"/>
      <c r="E11" s="44">
        <f>IF(FAP&lt;&gt;"",3*FAP,3)</f>
        <v>6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6.5" x14ac:dyDescent="0.25">
      <c r="A12" s="24"/>
      <c r="B12" s="23" t="s">
        <v>18</v>
      </c>
      <c r="C12" s="135" t="s">
        <v>89</v>
      </c>
      <c r="D12" s="137"/>
      <c r="E12" s="42">
        <v>1.5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6.5" x14ac:dyDescent="0.25">
      <c r="A13" s="24"/>
      <c r="B13" s="23" t="s">
        <v>16</v>
      </c>
      <c r="C13" s="139" t="s">
        <v>88</v>
      </c>
      <c r="D13" s="137"/>
      <c r="E13" s="44">
        <v>1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6.5" x14ac:dyDescent="0.25">
      <c r="A14" s="24"/>
      <c r="B14" s="23" t="s">
        <v>14</v>
      </c>
      <c r="C14" s="135" t="s">
        <v>87</v>
      </c>
      <c r="D14" s="137"/>
      <c r="E14" s="43">
        <v>0.6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6.5" x14ac:dyDescent="0.25">
      <c r="A15" s="24"/>
      <c r="B15" s="23" t="s">
        <v>12</v>
      </c>
      <c r="C15" s="139" t="s">
        <v>86</v>
      </c>
      <c r="D15" s="137"/>
      <c r="E15" s="44">
        <v>0.2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6.5" x14ac:dyDescent="0.3">
      <c r="A16" s="14"/>
      <c r="B16" s="23" t="s">
        <v>10</v>
      </c>
      <c r="C16" s="135" t="s">
        <v>85</v>
      </c>
      <c r="D16" s="137"/>
      <c r="E16" s="43">
        <v>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6.5" x14ac:dyDescent="0.3">
      <c r="A17" s="14"/>
      <c r="B17" s="138" t="s">
        <v>6</v>
      </c>
      <c r="C17" s="136"/>
      <c r="D17" s="137"/>
      <c r="E17" s="46">
        <f>SUM(E9:E16)</f>
        <v>39.799999999999997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6.5" x14ac:dyDescent="0.3">
      <c r="A18" s="19"/>
      <c r="B18" s="32" t="s">
        <v>36</v>
      </c>
      <c r="C18" s="31"/>
      <c r="D18" s="30"/>
      <c r="E18" s="2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6.5" x14ac:dyDescent="0.3">
      <c r="A19" s="19"/>
      <c r="B19" s="28">
        <v>3</v>
      </c>
      <c r="C19" s="138" t="s">
        <v>35</v>
      </c>
      <c r="D19" s="137"/>
      <c r="E19" s="23" t="s">
        <v>41</v>
      </c>
      <c r="F19" s="23" t="s">
        <v>72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6.5" x14ac:dyDescent="0.3">
      <c r="A20" s="19"/>
      <c r="B20" s="28" t="s">
        <v>24</v>
      </c>
      <c r="C20" s="148" t="s">
        <v>84</v>
      </c>
      <c r="D20" s="137"/>
      <c r="E20" s="44">
        <f>PERC_EMPREG_DEMIT_SEM_JUSTA_CAUSA_TOTAL_DESLIG%*PERC_EMPREG_AVISO_PREVIO_IND%*1/MESES_NO_ANO*100</f>
        <v>0.29105124999999998</v>
      </c>
      <c r="F20" s="44" t="s">
        <v>83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6.5" x14ac:dyDescent="0.3">
      <c r="A21" s="19"/>
      <c r="B21" s="23" t="s">
        <v>22</v>
      </c>
      <c r="C21" s="142" t="s">
        <v>82</v>
      </c>
      <c r="D21" s="137"/>
      <c r="E21" s="43">
        <f>PERC_AVISO_PREVIO_IND%*PERC_FGTS%*100</f>
        <v>2.3284099999999999E-2</v>
      </c>
      <c r="F21" s="42" t="s">
        <v>81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6.5" x14ac:dyDescent="0.25">
      <c r="A22" s="24"/>
      <c r="B22" s="23" t="s">
        <v>20</v>
      </c>
      <c r="C22" s="148" t="s">
        <v>80</v>
      </c>
      <c r="D22" s="137"/>
      <c r="E22" s="44">
        <f>PERC_EMPREG_DEMIT_SEM_JUSTA_CAUSA_TOTAL_DESLIG%*PERC_EMPREG_AVISO_PREVIO_IND%*(PERC_MULTA_FGTS%)*PERC_FGTS%*100</f>
        <v>0.11176368</v>
      </c>
      <c r="F22" s="44" t="s">
        <v>79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6.5" x14ac:dyDescent="0.3">
      <c r="A23" s="19"/>
      <c r="B23" s="23" t="s">
        <v>18</v>
      </c>
      <c r="C23" s="142" t="s">
        <v>78</v>
      </c>
      <c r="D23" s="137"/>
      <c r="E23" s="43">
        <f>PERC_EMPREG_DEMIT_SEM_JUSTA_CAUSA_TOTAL_DESLIG%*PERC_EMPREG_AVISO_PREVIO_TRAB%*(DIAS_NA_SEMANA/DIAS_NO_MES)/MESES_NO_ANO*100</f>
        <v>1.1557269305555555</v>
      </c>
      <c r="F23" s="42" t="s">
        <v>77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6.5" x14ac:dyDescent="0.3">
      <c r="A24" s="19"/>
      <c r="B24" s="23" t="s">
        <v>16</v>
      </c>
      <c r="C24" s="148" t="s">
        <v>76</v>
      </c>
      <c r="D24" s="137"/>
      <c r="E24" s="44">
        <f>PERC_GPS_FGTS%*PERC_AVISO_PREVIO_TRAB%*100</f>
        <v>0.45997931836111106</v>
      </c>
      <c r="F24" s="44" t="s">
        <v>75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6.5" x14ac:dyDescent="0.25">
      <c r="A25" s="24"/>
      <c r="B25" s="23" t="s">
        <v>14</v>
      </c>
      <c r="C25" s="142" t="s">
        <v>74</v>
      </c>
      <c r="D25" s="137"/>
      <c r="E25" s="43">
        <f>PERC_EMPREG_DEMIT_SEM_JUSTA_CAUSA_TOTAL_DESLIG%*PERC_EMPREG_AVISO_PREVIO_TRAB%*(PERC_MULTA_FGTS%)*PERC_FGTS%*100</f>
        <v>1.9019963200000001</v>
      </c>
      <c r="F25" s="42" t="s">
        <v>73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6.5" x14ac:dyDescent="0.3">
      <c r="A26" s="24"/>
      <c r="B26" s="32" t="s">
        <v>29</v>
      </c>
      <c r="C26" s="31"/>
      <c r="D26" s="30"/>
      <c r="E26" s="1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6.5" x14ac:dyDescent="0.3">
      <c r="A27" s="24"/>
      <c r="B27" s="32" t="s">
        <v>28</v>
      </c>
      <c r="C27" s="31"/>
      <c r="D27" s="30"/>
      <c r="E27" s="29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6.5" x14ac:dyDescent="0.25">
      <c r="A28" s="24"/>
      <c r="B28" s="28" t="s">
        <v>27</v>
      </c>
      <c r="C28" s="143" t="s">
        <v>26</v>
      </c>
      <c r="D28" s="137"/>
      <c r="E28" s="23" t="s">
        <v>41</v>
      </c>
      <c r="F28" s="23" t="s">
        <v>72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6.5" x14ac:dyDescent="0.25">
      <c r="A29" s="24"/>
      <c r="B29" s="23" t="s">
        <v>24</v>
      </c>
      <c r="C29" s="139" t="s">
        <v>71</v>
      </c>
      <c r="D29" s="137"/>
      <c r="E29" s="44">
        <f>(1/MESES_NO_ANO)*100</f>
        <v>8.3333333333333321</v>
      </c>
      <c r="F29" s="44" t="s">
        <v>70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6.5" x14ac:dyDescent="0.25">
      <c r="A30" s="24"/>
      <c r="B30" s="23" t="s">
        <v>22</v>
      </c>
      <c r="C30" s="45" t="s">
        <v>69</v>
      </c>
      <c r="D30" s="45"/>
      <c r="E30" s="43">
        <f>(DIAS_AUSENCIAS_LEGAIS/DIAS_NO_MES)/MESES_NO_ANO*100</f>
        <v>2.2222222222222223</v>
      </c>
      <c r="F30" s="42" t="s">
        <v>68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6.5" x14ac:dyDescent="0.25">
      <c r="A31" s="24"/>
      <c r="B31" s="23" t="s">
        <v>20</v>
      </c>
      <c r="C31" s="139" t="s">
        <v>67</v>
      </c>
      <c r="D31" s="137"/>
      <c r="E31" s="44">
        <f>(((DIAS_LICENCA_PATERNIDADE/DIAS_NO_MES)/MESES_NO_ANO)*PERC_NASCIDOS_VIVOS_POPUL_FEM%*PERC_PARTIC_MASC_VIGIL%)*100</f>
        <v>1.7051833333333329E-2</v>
      </c>
      <c r="F31" s="44" t="s">
        <v>66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6.5" x14ac:dyDescent="0.25">
      <c r="A32" s="24"/>
      <c r="B32" s="23" t="s">
        <v>18</v>
      </c>
      <c r="C32" s="135" t="s">
        <v>65</v>
      </c>
      <c r="D32" s="137"/>
      <c r="E32" s="43">
        <f>(DIAS_PAGOS_EMPRESA_ACID_TRAB/DIAS_NO_MES)/MESES_NO_ANO*PERC_EMPREG_AFAST_TRAB%*100</f>
        <v>1.85302229372558E-2</v>
      </c>
      <c r="F32" s="42" t="s">
        <v>64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6.5" x14ac:dyDescent="0.25">
      <c r="A33" s="24"/>
      <c r="B33" s="23" t="s">
        <v>16</v>
      </c>
      <c r="C33" s="139" t="s">
        <v>63</v>
      </c>
      <c r="D33" s="137"/>
      <c r="E33" s="44">
        <f>(((DIAS_LICENCA_MATERNIDADE/DIAS_NO_MES)/MESES_NO_ANO)*PERC_NASCIDOS_VIVOS_POPUL_FEM%*PERC_PARTIC_FEM_VIGIL%*PERC_GPS_FGTS%*100)</f>
        <v>2.5507554666666658E-2</v>
      </c>
      <c r="F33" s="44" t="s">
        <v>62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6.5" x14ac:dyDescent="0.25">
      <c r="A34" s="24"/>
      <c r="B34" s="23" t="s">
        <v>14</v>
      </c>
      <c r="C34" s="147" t="str">
        <f>OUTRAS_AUSENCIAS_DESCRICAO</f>
        <v>Outras Ausências (Especificar em %)</v>
      </c>
      <c r="D34" s="137"/>
      <c r="E34" s="43">
        <f>PERC_SUBSTITUTO_OUTRAS_AUSENCIAS</f>
        <v>0</v>
      </c>
      <c r="F34" s="42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6.5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20.25" x14ac:dyDescent="0.3">
      <c r="A36" s="14"/>
      <c r="B36" s="18" t="s">
        <v>8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6.5" x14ac:dyDescent="0.3">
      <c r="A37" s="14"/>
      <c r="B37" s="140" t="s">
        <v>7</v>
      </c>
      <c r="C37" s="141"/>
      <c r="D37" s="141"/>
      <c r="E37" s="141"/>
      <c r="F37" s="141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6.5" x14ac:dyDescent="0.3">
      <c r="A38" s="14"/>
      <c r="B38" s="14" t="s">
        <v>61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6.5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6.5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6.5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6.5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6.5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6.5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6.5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6.5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6.5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6.5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6.5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6.5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6.5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6.5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6.5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6.5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6.5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6.5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6.5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6.5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6.5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6.5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6.5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6.5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6.5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6.5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6.5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6.5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6.5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6.5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6.5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6.5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6.5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6.5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6.5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6.5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6.5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6.5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6.5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6.5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6.5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6.5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6.5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6.5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6.5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6.5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6.5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6.5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6.5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6.5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6.5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6.5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6.5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6.5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6.5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6.5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6.5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6.5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6.5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6.5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6.5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6.5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6.5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6.5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6.5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6.5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6.5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6.5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6.5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6.5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6.5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6.5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6.5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6.5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6.5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6.5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6.5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6.5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6.5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6.5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6.5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6.5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6.5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6.5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6.5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6.5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6.5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6.5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6.5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6.5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6.5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6.5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6.5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6.5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6.5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6.5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6.5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6.5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6.5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6.5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6.5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6.5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6.5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6.5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6.5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6.5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6.5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6.5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6.5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6.5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6.5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6.5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6.5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6.5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6.5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6.5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6.5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6.5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6.5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6.5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6.5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6.5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6.5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6.5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6.5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6.5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6.5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6.5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6.5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6.5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6.5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6.5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6.5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6.5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6.5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6.5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6.5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6.5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6.5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6.5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6.5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6.5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6.5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6.5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6.5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6.5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6.5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6.5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6.5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6.5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6.5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6.5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6.5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6.5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6.5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6.5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6.5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6.5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6.5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6.5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6.5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6.5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6.5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6.5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6.5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6.5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6.5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6.5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6.5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6.5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6.5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6.5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6.5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6.5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6.5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6.5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6.5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6.5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6.5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6.5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6.5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6.5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6.5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6.5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6.5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6.5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6.5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6.5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6.5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6.5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6.5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6.5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6.5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6.5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6.5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6.5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6.5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6.5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6.5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6.5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6.5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6.5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6.5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6.5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6.5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6.5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6.5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6.5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6.5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6.5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6.5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6.5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6.5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6.5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6.5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6.5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6.5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6.5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6.5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6.5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6.5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6.5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6.5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6.5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6.5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6.5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6.5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6.5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6.5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6.5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6.5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6.5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6.5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6.5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6.5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6.5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6.5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6.5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6.5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6.5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6.5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6.5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6.5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6.5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6.5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6.5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6.5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6.5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6.5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6.5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6.5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6.5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6.5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6.5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6.5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6.5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6.5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6.5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6.5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6.5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6.5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6.5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6.5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6.5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6.5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6.5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6.5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6.5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6.5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6.5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6.5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6.5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6.5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6.5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6.5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6.5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6.5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6.5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6.5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6.5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6.5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6.5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6.5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6.5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6.5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6.5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6.5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6.5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6.5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6.5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6.5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6.5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6.5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6.5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6.5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6.5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6.5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6.5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6.5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6.5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6.5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6.5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6.5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6.5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6.5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6.5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6.5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6.5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6.5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6.5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6.5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6.5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6.5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6.5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6.5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6.5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6.5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6.5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6.5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6.5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6.5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6.5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6.5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6.5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6.5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6.5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6.5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6.5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6.5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6.5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6.5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6.5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6.5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6.5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6.5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6.5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6.5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6.5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6.5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6.5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6.5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6.5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6.5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6.5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6.5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6.5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6.5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6.5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6.5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6.5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6.5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6.5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6.5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6.5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6.5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6.5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6.5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6.5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6.5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6.5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6.5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6.5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6.5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6.5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6.5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6.5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6.5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6.5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6.5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6.5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6.5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6.5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6.5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6.5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6.5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6.5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6.5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6.5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6.5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6.5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6.5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6.5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6.5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6.5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6.5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6.5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6.5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6.5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6.5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6.5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6.5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6.5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6.5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6.5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6.5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6.5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6.5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6.5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6.5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6.5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6.5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6.5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6.5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6.5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6.5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6.5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6.5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6.5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6.5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6.5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6.5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6.5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6.5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6.5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6.5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6.5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6.5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6.5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6.5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6.5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6.5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6.5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6.5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6.5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6.5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6.5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6.5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6.5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6.5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6.5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6.5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6.5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6.5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6.5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6.5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6.5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6.5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6.5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6.5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6.5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6.5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6.5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6.5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6.5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6.5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6.5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6.5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6.5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6.5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6.5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6.5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6.5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6.5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6.5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6.5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6.5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6.5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6.5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6.5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6.5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6.5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6.5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6.5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6.5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6.5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6.5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6.5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6.5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6.5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6.5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6.5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6.5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6.5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6.5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6.5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6.5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6.5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6.5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6.5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6.5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6.5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6.5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6.5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6.5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6.5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6.5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6.5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6.5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6.5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6.5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6.5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6.5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6.5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6.5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6.5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6.5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6.5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6.5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6.5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6.5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6.5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6.5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6.5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6.5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6.5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6.5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6.5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6.5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6.5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6.5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6.5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6.5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6.5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6.5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6.5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6.5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6.5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6.5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6.5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6.5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6.5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6.5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6.5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6.5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6.5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6.5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6.5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6.5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6.5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6.5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6.5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6.5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6.5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6.5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6.5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6.5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6.5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6.5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6.5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6.5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6.5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6.5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6.5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6.5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6.5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6.5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6.5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6.5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6.5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6.5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6.5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6.5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6.5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6.5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6.5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6.5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6.5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6.5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6.5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6.5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6.5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6.5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6.5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6.5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6.5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6.5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6.5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6.5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6.5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6.5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6.5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6.5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6.5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6.5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6.5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6.5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6.5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6.5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6.5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6.5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6.5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6.5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6.5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6.5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6.5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6.5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6.5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6.5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6.5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6.5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6.5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6.5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6.5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6.5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6.5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6.5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6.5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6.5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6.5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6.5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6.5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6.5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6.5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6.5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6.5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6.5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6.5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6.5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6.5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6.5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6.5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6.5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6.5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6.5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6.5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6.5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6.5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6.5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6.5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6.5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6.5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6.5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6.5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6.5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6.5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6.5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6.5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6.5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6.5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6.5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6.5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6.5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6.5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6.5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6.5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6.5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6.5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6.5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6.5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6.5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6.5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6.5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6.5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6.5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6.5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6.5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6.5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6.5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6.5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6.5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6.5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6.5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6.5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6.5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6.5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6.5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6.5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6.5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6.5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6.5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6.5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6.5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6.5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6.5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6.5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6.5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6.5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6.5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6.5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6.5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6.5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6.5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6.5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6.5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6.5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6.5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6.5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6.5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6.5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6.5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6.5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6.5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6.5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6.5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6.5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6.5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6.5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6.5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6.5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6.5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6.5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6.5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6.5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6.5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6.5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6.5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6.5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6.5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6.5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6.5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6.5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6.5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6.5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6.5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6.5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6.5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6.5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6.5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6.5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6.5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6.5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6.5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6.5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6.5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6.5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6.5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6.5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6.5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6.5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6.5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6.5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6.5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6.5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6.5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6.5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6.5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6.5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6.5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6.5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6.5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6.5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6.5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6.5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6.5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6.5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6.5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6.5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6.5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6.5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6.5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6.5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6.5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6.5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6.5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6.5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6.5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6.5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6.5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6.5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6.5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6.5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6.5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6.5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6.5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6.5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6.5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6.5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6.5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6.5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6.5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6.5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6.5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6.5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6.5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6.5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6.5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6.5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6.5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6.5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6.5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6.5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6.5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6.5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6.5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6.5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6.5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6.5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6.5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6.5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6.5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6.5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6.5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6.5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6.5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6.5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6.5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6.5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6.5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6.5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6.5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6.5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6.5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6.5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6.5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6.5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6.5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6.5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6.5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6.5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6.5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6.5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6.5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6.5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6.5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6.5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6.5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6.5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6.5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6.5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6.5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6.5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6.5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6.5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6.5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6.5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6.5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6.5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6.5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6.5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6.5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6.5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6.5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6.5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6.5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6.5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6.5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6.5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6.5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6.5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6.5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6.5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6.5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6.5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6.5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6.5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6.5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6.5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6.5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6.5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6.5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6.5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6.5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6.5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6.5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6.5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6.5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6.5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6.5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6.5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6.5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6.5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6.5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6.5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6.5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6.5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6.5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6.5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6.5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6.5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6.5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6.5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6.5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6.5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6.5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6.5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6.5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6.5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6.5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6.5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6.5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6.5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6.5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6.5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6.5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6.5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6.5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6.5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6.5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6.5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6.5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6.5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6.5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6.5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6.5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6.5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6.5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6.5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6.5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6.5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6.5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6.5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6.5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6.5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6.5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6.5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6.5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6.5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6.5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6.5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6.5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6.5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6.5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6.5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6.5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6.5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6.5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6.5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6.5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6.5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6.5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6.5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6.5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6.5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6.5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6.5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6.5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6.5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6.5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6.5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6.5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6.5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6.5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6.5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6.5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6.5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6.5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6.5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6.5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6.5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6.5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6.5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6.5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6.5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6.5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6.5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6.5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6.5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6.5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6.5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6.5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6.5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6.5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6.5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6.5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6.5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6.5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6.5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6.5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6.5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6.5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6.5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6.5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6.5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6.5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6.5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6.5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6.5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6.5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6.5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6.5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6.5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6.5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sheetProtection sheet="1" objects="1" scenarios="1"/>
  <mergeCells count="28">
    <mergeCell ref="C15:D15"/>
    <mergeCell ref="C4:D4"/>
    <mergeCell ref="C5:D5"/>
    <mergeCell ref="C6:D6"/>
    <mergeCell ref="B7:F7"/>
    <mergeCell ref="C8:D8"/>
    <mergeCell ref="C9:D9"/>
    <mergeCell ref="C10:D10"/>
    <mergeCell ref="C11:D11"/>
    <mergeCell ref="C12:D12"/>
    <mergeCell ref="C13:D13"/>
    <mergeCell ref="C14:D14"/>
    <mergeCell ref="C34:D34"/>
    <mergeCell ref="C16:D16"/>
    <mergeCell ref="B17:D17"/>
    <mergeCell ref="C28:D28"/>
    <mergeCell ref="B37:F37"/>
    <mergeCell ref="C19:D19"/>
    <mergeCell ref="C20:D20"/>
    <mergeCell ref="C21:D21"/>
    <mergeCell ref="C22:D22"/>
    <mergeCell ref="C23:D23"/>
    <mergeCell ref="C24:D24"/>
    <mergeCell ref="C25:D25"/>
    <mergeCell ref="C29:D29"/>
    <mergeCell ref="C31:D31"/>
    <mergeCell ref="C32:D32"/>
    <mergeCell ref="C33:D33"/>
  </mergeCells>
  <dataValidations count="2">
    <dataValidation type="decimal" allowBlank="1" showInputMessage="1" showErrorMessage="1" prompt="Erro na inserção de dados. - O percentual do Aviso Prévio Indenizado deverá ser inferior a 0,64%, conforme determinou o Tribunal de Contas da União por meio do Acórdão nº 1.904/2007 - Plenário." sqref="E20" xr:uid="{00000000-0002-0000-0200-000001000000}">
      <formula1>0</formula1>
      <formula2>0.46</formula2>
    </dataValidation>
    <dataValidation type="decimal" allowBlank="1" showInputMessage="1" showErrorMessage="1" prompt="Erro na inserção de dados. - O percentual do Aviso Prévio Indenizado deverá ser inferior a 1,94%, conforme determinou o Tribunal de Contas da União por meio do Acórdão nº 1.904/2007 - Plenário." sqref="E23:E24" xr:uid="{00000000-0002-0000-0200-000000000000}">
      <formula1>0</formula1>
      <formula2>1.94</formula2>
    </dataValidation>
  </dataValidations>
  <pageMargins left="0.18" right="0.17" top="0.1" bottom="0.0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C3AC-F73D-4F4C-80C8-CA4E16AB9643}">
  <dimension ref="A1:Z1012"/>
  <sheetViews>
    <sheetView topLeftCell="A20" workbookViewId="0">
      <selection activeCell="F43" sqref="F43"/>
    </sheetView>
  </sheetViews>
  <sheetFormatPr defaultColWidth="12.5703125" defaultRowHeight="15" customHeight="1" x14ac:dyDescent="0.25"/>
  <cols>
    <col min="1" max="1" width="2.7109375" style="13" customWidth="1"/>
    <col min="2" max="2" width="8.85546875" style="13" customWidth="1"/>
    <col min="3" max="3" width="78" style="13" customWidth="1"/>
    <col min="4" max="4" width="9.5703125" style="13" customWidth="1"/>
    <col min="5" max="5" width="15.42578125" style="13" customWidth="1"/>
    <col min="6" max="6" width="16.5703125" style="13" customWidth="1"/>
    <col min="7" max="26" width="9.140625" style="13" customWidth="1"/>
    <col min="27" max="16384" width="12.5703125" style="13"/>
  </cols>
  <sheetData>
    <row r="1" spans="1:26" ht="16.5" customHeight="1" x14ac:dyDescent="0.35">
      <c r="A1" s="14"/>
      <c r="B1" s="178" t="s">
        <v>206</v>
      </c>
      <c r="C1" s="169"/>
      <c r="D1" s="169"/>
      <c r="E1" s="169"/>
      <c r="F1" s="162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6.5" customHeight="1" x14ac:dyDescent="0.35">
      <c r="A2" s="14"/>
      <c r="B2" s="178" t="s">
        <v>205</v>
      </c>
      <c r="C2" s="169"/>
      <c r="D2" s="162"/>
      <c r="E2" s="119" t="s">
        <v>153</v>
      </c>
      <c r="F2" s="118">
        <v>46149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6.5" customHeight="1" x14ac:dyDescent="0.3">
      <c r="A3" s="14"/>
      <c r="B3" s="24"/>
      <c r="C3" s="24"/>
      <c r="D3" s="24"/>
      <c r="E3" s="24"/>
      <c r="F3" s="2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25.5" x14ac:dyDescent="0.5">
      <c r="A4" s="24"/>
      <c r="B4" s="179" t="s">
        <v>204</v>
      </c>
      <c r="C4" s="141"/>
      <c r="D4" s="141"/>
      <c r="E4" s="141"/>
      <c r="F4" s="141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3">
      <c r="A5" s="24"/>
      <c r="B5" s="172" t="s">
        <v>151</v>
      </c>
      <c r="C5" s="173"/>
      <c r="D5" s="173"/>
      <c r="E5" s="173"/>
      <c r="F5" s="17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3">
      <c r="A6" s="24"/>
      <c r="B6" s="144" t="s">
        <v>203</v>
      </c>
      <c r="C6" s="137"/>
      <c r="D6" s="180" t="s">
        <v>202</v>
      </c>
      <c r="E6" s="169"/>
      <c r="F6" s="162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3">
      <c r="A7" s="24"/>
      <c r="B7" s="146" t="s">
        <v>201</v>
      </c>
      <c r="C7" s="137"/>
      <c r="D7" s="177" t="s">
        <v>200</v>
      </c>
      <c r="E7" s="162"/>
      <c r="F7" s="116" t="s">
        <v>199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.75" customHeight="1" x14ac:dyDescent="0.3">
      <c r="A8" s="24"/>
      <c r="B8" s="144" t="s">
        <v>198</v>
      </c>
      <c r="C8" s="137"/>
      <c r="D8" s="175" t="s">
        <v>195</v>
      </c>
      <c r="E8" s="162"/>
      <c r="F8" s="116" t="s">
        <v>197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9.75" customHeight="1" x14ac:dyDescent="0.3">
      <c r="A9" s="24"/>
      <c r="B9" s="24"/>
      <c r="C9" s="115"/>
      <c r="D9" s="114"/>
      <c r="E9" s="114"/>
      <c r="F9" s="113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.75" customHeight="1" x14ac:dyDescent="0.3">
      <c r="A10" s="24"/>
      <c r="B10" s="172" t="s">
        <v>196</v>
      </c>
      <c r="C10" s="173"/>
      <c r="D10" s="173"/>
      <c r="E10" s="173"/>
      <c r="F10" s="17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8" customHeight="1" x14ac:dyDescent="0.3">
      <c r="A11" s="24"/>
      <c r="B11" s="74" t="s">
        <v>24</v>
      </c>
      <c r="C11" s="144" t="s">
        <v>147</v>
      </c>
      <c r="D11" s="136"/>
      <c r="E11" s="137"/>
      <c r="F11" s="105" t="s">
        <v>195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 customHeight="1" x14ac:dyDescent="0.25">
      <c r="A12" s="24"/>
      <c r="B12" s="28" t="s">
        <v>22</v>
      </c>
      <c r="C12" s="45" t="s">
        <v>146</v>
      </c>
      <c r="D12" s="176" t="s">
        <v>194</v>
      </c>
      <c r="E12" s="169"/>
      <c r="F12" s="162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 customHeight="1" x14ac:dyDescent="0.3">
      <c r="A13" s="24"/>
      <c r="B13" s="74" t="s">
        <v>20</v>
      </c>
      <c r="C13" s="144" t="s">
        <v>193</v>
      </c>
      <c r="D13" s="136"/>
      <c r="E13" s="137"/>
      <c r="F13" s="117" t="s">
        <v>192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8.75" customHeight="1" x14ac:dyDescent="0.3">
      <c r="A14" s="24"/>
      <c r="B14" s="28" t="s">
        <v>18</v>
      </c>
      <c r="C14" s="135" t="s">
        <v>145</v>
      </c>
      <c r="D14" s="136"/>
      <c r="E14" s="137"/>
      <c r="F14" s="116" t="s">
        <v>191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75" customHeight="1" x14ac:dyDescent="0.3">
      <c r="A15" s="24"/>
      <c r="B15" s="28" t="s">
        <v>16</v>
      </c>
      <c r="C15" s="144" t="s">
        <v>144</v>
      </c>
      <c r="D15" s="136"/>
      <c r="E15" s="137"/>
      <c r="F15" s="33">
        <v>60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 customHeight="1" x14ac:dyDescent="0.3">
      <c r="A16" s="24"/>
      <c r="B16" s="24"/>
      <c r="C16" s="115"/>
      <c r="D16" s="114"/>
      <c r="E16" s="114"/>
      <c r="F16" s="113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6.5" customHeight="1" x14ac:dyDescent="0.3">
      <c r="A17" s="24"/>
      <c r="B17" s="172" t="s">
        <v>190</v>
      </c>
      <c r="C17" s="173"/>
      <c r="D17" s="173"/>
      <c r="E17" s="173"/>
      <c r="F17" s="17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6.5" customHeight="1" x14ac:dyDescent="0.25">
      <c r="A18" s="110"/>
      <c r="B18" s="112" t="s">
        <v>189</v>
      </c>
      <c r="C18" s="112" t="s">
        <v>188</v>
      </c>
      <c r="D18" s="111" t="s">
        <v>187</v>
      </c>
      <c r="E18" s="111" t="s">
        <v>186</v>
      </c>
      <c r="F18" s="111" t="s">
        <v>185</v>
      </c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ht="16.5" x14ac:dyDescent="0.3">
      <c r="A19" s="24"/>
      <c r="B19" s="74">
        <v>1</v>
      </c>
      <c r="C19" s="109" t="s">
        <v>208</v>
      </c>
      <c r="D19" s="107" t="s">
        <v>4</v>
      </c>
      <c r="E19" s="108">
        <v>1</v>
      </c>
      <c r="F19" s="107">
        <v>1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6.5" x14ac:dyDescent="0.3">
      <c r="A20" s="24"/>
      <c r="B20" s="120">
        <v>2</v>
      </c>
      <c r="C20" s="121" t="s">
        <v>209</v>
      </c>
      <c r="D20" s="107" t="s">
        <v>4</v>
      </c>
      <c r="E20" s="122">
        <v>2</v>
      </c>
      <c r="F20" s="123">
        <v>2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6.5" x14ac:dyDescent="0.3">
      <c r="A21" s="24"/>
      <c r="B21" s="120">
        <v>3</v>
      </c>
      <c r="C21" s="121" t="s">
        <v>212</v>
      </c>
      <c r="D21" s="107" t="s">
        <v>4</v>
      </c>
      <c r="E21" s="122">
        <v>2</v>
      </c>
      <c r="F21" s="123">
        <v>2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6.5" x14ac:dyDescent="0.3">
      <c r="A22" s="24"/>
      <c r="B22" s="120">
        <v>4</v>
      </c>
      <c r="C22" s="121" t="s">
        <v>210</v>
      </c>
      <c r="D22" s="107" t="s">
        <v>4</v>
      </c>
      <c r="E22" s="122">
        <v>1</v>
      </c>
      <c r="F22" s="123">
        <v>1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6.5" x14ac:dyDescent="0.3">
      <c r="A23" s="24"/>
      <c r="B23" s="120">
        <v>5</v>
      </c>
      <c r="C23" s="121" t="s">
        <v>211</v>
      </c>
      <c r="D23" s="107" t="s">
        <v>4</v>
      </c>
      <c r="E23" s="122">
        <v>1</v>
      </c>
      <c r="F23" s="123">
        <v>1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3">
      <c r="A24" s="24"/>
      <c r="B24" s="171" t="s">
        <v>184</v>
      </c>
      <c r="C24" s="150"/>
      <c r="D24" s="150"/>
      <c r="E24" s="150"/>
      <c r="F24" s="106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" customHeight="1" x14ac:dyDescent="0.3">
      <c r="A25" s="24"/>
      <c r="B25" s="63"/>
      <c r="C25" s="63"/>
      <c r="D25" s="63"/>
      <c r="E25" s="63"/>
      <c r="F25" s="63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" customHeight="1" x14ac:dyDescent="0.3">
      <c r="A26" s="24"/>
      <c r="B26" s="172" t="s">
        <v>183</v>
      </c>
      <c r="C26" s="173"/>
      <c r="D26" s="173"/>
      <c r="E26" s="173"/>
      <c r="F26" s="17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3">
      <c r="A27" s="24"/>
      <c r="B27" s="151">
        <v>1</v>
      </c>
      <c r="C27" s="125" t="str">
        <f>C19</f>
        <v>GERENTE DE SUPORTE TÉCNICO DE TECNOLOGIA DA INFORMAÇÃO</v>
      </c>
      <c r="D27" s="22"/>
      <c r="E27" s="21"/>
      <c r="F27" s="124" t="s">
        <v>213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3">
      <c r="A28" s="24"/>
      <c r="B28" s="152"/>
      <c r="C28" s="154" t="str">
        <f>C20</f>
        <v>TÉCNICO DE SUPORTE AO USUÁRIO DE TECNOLOGIA DA INFORMAÇÃO SÊNIOR</v>
      </c>
      <c r="D28" s="136"/>
      <c r="E28" s="137"/>
      <c r="F28" s="124" t="s">
        <v>214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3">
      <c r="A29" s="24"/>
      <c r="B29" s="152"/>
      <c r="C29" s="154" t="str">
        <f>C21</f>
        <v>TÉCNICO EM MANUTENÇÃO DE EQUIPAMENTOS DE INFORMÁTICA SÊNIOR</v>
      </c>
      <c r="D29" s="136"/>
      <c r="E29" s="137"/>
      <c r="F29" s="124" t="s">
        <v>182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3">
      <c r="A30" s="24"/>
      <c r="B30" s="152"/>
      <c r="C30" s="154" t="str">
        <f>C22</f>
        <v>ANALISTA DE SUPORTE COMPUTACIONAL SÊNIOR</v>
      </c>
      <c r="D30" s="136"/>
      <c r="E30" s="137"/>
      <c r="F30" s="124" t="s">
        <v>215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3">
      <c r="A31" s="24"/>
      <c r="B31" s="153"/>
      <c r="C31" s="154" t="str">
        <f>C23</f>
        <v>TÉCNICO DE SUPORTE AO USUÁRIO DE TECNOLOGIA DA INFORMAÇÃO JÚNIOR</v>
      </c>
      <c r="D31" s="136"/>
      <c r="E31" s="137"/>
      <c r="F31" s="124" t="s">
        <v>214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3">
      <c r="A32" s="24"/>
      <c r="B32" s="74">
        <v>2</v>
      </c>
      <c r="C32" s="155" t="s">
        <v>139</v>
      </c>
      <c r="D32" s="156"/>
      <c r="E32" s="157"/>
      <c r="F32" s="1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3">
      <c r="A33" s="24"/>
      <c r="B33" s="74">
        <v>3</v>
      </c>
      <c r="C33" s="144" t="s">
        <v>138</v>
      </c>
      <c r="D33" s="136"/>
      <c r="E33" s="137"/>
      <c r="F33" s="105">
        <v>46143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6.5" customHeight="1" x14ac:dyDescent="0.3">
      <c r="A34" s="24"/>
      <c r="B34" s="74">
        <v>4</v>
      </c>
      <c r="C34" s="146" t="s">
        <v>181</v>
      </c>
      <c r="D34" s="136"/>
      <c r="E34" s="137"/>
      <c r="F34" s="104">
        <v>1621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6.5" x14ac:dyDescent="0.3">
      <c r="A35" s="24"/>
      <c r="B35" s="103"/>
      <c r="C35" s="102"/>
      <c r="D35" s="102"/>
      <c r="E35" s="102"/>
      <c r="F35" s="10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5.5" x14ac:dyDescent="0.5">
      <c r="A36" s="14"/>
      <c r="B36" s="41" t="s">
        <v>142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6.5" x14ac:dyDescent="0.3">
      <c r="A37" s="14"/>
      <c r="B37" s="32" t="s">
        <v>59</v>
      </c>
      <c r="C37" s="14"/>
      <c r="D37" s="14"/>
      <c r="E37" s="40"/>
      <c r="F37" s="40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6.5" customHeight="1" x14ac:dyDescent="0.3">
      <c r="A38" s="14"/>
      <c r="B38" s="28">
        <v>1</v>
      </c>
      <c r="C38" s="143" t="s">
        <v>58</v>
      </c>
      <c r="D38" s="136"/>
      <c r="E38" s="137"/>
      <c r="F38" s="23" t="s">
        <v>169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6.5" x14ac:dyDescent="0.3">
      <c r="A39" s="14"/>
      <c r="B39" s="151" t="s">
        <v>24</v>
      </c>
      <c r="C39" s="158" t="str">
        <f>C19</f>
        <v>GERENTE DE SUPORTE TÉCNICO DE TECNOLOGIA DA INFORMAÇÃO</v>
      </c>
      <c r="D39" s="159"/>
      <c r="E39" s="160"/>
      <c r="F39" s="92">
        <v>10365.31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6.5" x14ac:dyDescent="0.3">
      <c r="A40" s="14"/>
      <c r="B40" s="152"/>
      <c r="C40" s="158" t="str">
        <f t="shared" ref="C40:C43" si="0">C20</f>
        <v>TÉCNICO DE SUPORTE AO USUÁRIO DE TECNOLOGIA DA INFORMAÇÃO SÊNIOR</v>
      </c>
      <c r="D40" s="159"/>
      <c r="E40" s="160"/>
      <c r="F40" s="92">
        <v>3216.87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6.5" x14ac:dyDescent="0.3">
      <c r="A41" s="14"/>
      <c r="B41" s="152"/>
      <c r="C41" s="158" t="str">
        <f t="shared" si="0"/>
        <v>TÉCNICO EM MANUTENÇÃO DE EQUIPAMENTOS DE INFORMÁTICA SÊNIOR</v>
      </c>
      <c r="D41" s="159"/>
      <c r="E41" s="160"/>
      <c r="F41" s="92">
        <v>3273.71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6.5" x14ac:dyDescent="0.3">
      <c r="A42" s="14"/>
      <c r="B42" s="152"/>
      <c r="C42" s="158" t="str">
        <f t="shared" si="0"/>
        <v>ANALISTA DE SUPORTE COMPUTACIONAL SÊNIOR</v>
      </c>
      <c r="D42" s="159"/>
      <c r="E42" s="160"/>
      <c r="F42" s="92">
        <v>7487.05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6.5" x14ac:dyDescent="0.3">
      <c r="A43" s="14"/>
      <c r="B43" s="153"/>
      <c r="C43" s="158" t="str">
        <f t="shared" si="0"/>
        <v>TÉCNICO DE SUPORTE AO USUÁRIO DE TECNOLOGIA DA INFORMAÇÃO JÚNIOR</v>
      </c>
      <c r="D43" s="159"/>
      <c r="E43" s="160"/>
      <c r="F43" s="92">
        <v>1800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6.5" customHeight="1" x14ac:dyDescent="0.3">
      <c r="A44" s="14"/>
      <c r="B44" s="28" t="s">
        <v>22</v>
      </c>
      <c r="C44" s="135" t="s">
        <v>180</v>
      </c>
      <c r="D44" s="136"/>
      <c r="E44" s="137"/>
      <c r="F44" s="9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6.5" customHeight="1" x14ac:dyDescent="0.3">
      <c r="A45" s="14"/>
      <c r="B45" s="28" t="s">
        <v>20</v>
      </c>
      <c r="C45" s="167" t="s">
        <v>179</v>
      </c>
      <c r="D45" s="136"/>
      <c r="E45" s="137"/>
      <c r="F45" s="9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6.5" customHeight="1" x14ac:dyDescent="0.3">
      <c r="A46" s="14"/>
      <c r="B46" s="28" t="s">
        <v>18</v>
      </c>
      <c r="C46" s="145" t="s">
        <v>178</v>
      </c>
      <c r="D46" s="136"/>
      <c r="E46" s="137"/>
      <c r="F46" s="9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6.5" customHeight="1" x14ac:dyDescent="0.3">
      <c r="A47" s="14"/>
      <c r="B47" s="28" t="s">
        <v>16</v>
      </c>
      <c r="C47" s="161" t="s">
        <v>177</v>
      </c>
      <c r="D47" s="169"/>
      <c r="E47" s="162"/>
      <c r="F47" s="92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6.5" customHeight="1" x14ac:dyDescent="0.3">
      <c r="A48" s="14"/>
      <c r="B48" s="28" t="s">
        <v>14</v>
      </c>
      <c r="C48" s="161" t="s">
        <v>176</v>
      </c>
      <c r="D48" s="169"/>
      <c r="E48" s="162"/>
      <c r="F48" s="92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6.5" customHeight="1" x14ac:dyDescent="0.3">
      <c r="A49" s="19"/>
      <c r="B49" s="28" t="s">
        <v>12</v>
      </c>
      <c r="C49" s="161" t="s">
        <v>175</v>
      </c>
      <c r="D49" s="169"/>
      <c r="E49" s="162"/>
      <c r="F49" s="92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9.75" customHeight="1" x14ac:dyDescent="0.3">
      <c r="A50" s="14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6.5" customHeight="1" x14ac:dyDescent="0.3">
      <c r="A51" s="19"/>
      <c r="B51" s="32" t="s">
        <v>103</v>
      </c>
      <c r="C51" s="14"/>
      <c r="D51" s="14"/>
      <c r="E51" s="47"/>
      <c r="F51" s="47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6.75" customHeight="1" x14ac:dyDescent="0.3">
      <c r="A52" s="14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5" customHeight="1" x14ac:dyDescent="0.3">
      <c r="A53" s="14"/>
      <c r="B53" s="32" t="s">
        <v>174</v>
      </c>
      <c r="C53" s="24"/>
      <c r="D53" s="24"/>
      <c r="E53" s="24"/>
      <c r="F53" s="24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6.5" customHeight="1" x14ac:dyDescent="0.3">
      <c r="A54" s="14"/>
      <c r="B54" s="28" t="s">
        <v>94</v>
      </c>
      <c r="C54" s="143" t="s">
        <v>173</v>
      </c>
      <c r="D54" s="136"/>
      <c r="E54" s="137"/>
      <c r="F54" s="23" t="s">
        <v>172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6.5" customHeight="1" x14ac:dyDescent="0.3">
      <c r="A55" s="19"/>
      <c r="B55" s="34" t="s">
        <v>20</v>
      </c>
      <c r="C55" s="144" t="s">
        <v>171</v>
      </c>
      <c r="D55" s="136"/>
      <c r="E55" s="137"/>
      <c r="F55" s="100">
        <v>2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6.5" customHeight="1" x14ac:dyDescent="0.3">
      <c r="A56" s="14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5" customHeight="1" x14ac:dyDescent="0.3">
      <c r="A57" s="14"/>
      <c r="B57" s="32" t="s">
        <v>45</v>
      </c>
      <c r="C57" s="24"/>
      <c r="D57" s="24"/>
      <c r="E57" s="24"/>
      <c r="F57" s="24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6.5" customHeight="1" x14ac:dyDescent="0.3">
      <c r="A58" s="14"/>
      <c r="B58" s="28" t="s">
        <v>44</v>
      </c>
      <c r="C58" s="143" t="s">
        <v>43</v>
      </c>
      <c r="D58" s="137"/>
      <c r="E58" s="23" t="s">
        <v>170</v>
      </c>
      <c r="F58" s="23" t="s">
        <v>169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6.5" customHeight="1" x14ac:dyDescent="0.3">
      <c r="A59" s="19"/>
      <c r="B59" s="34" t="s">
        <v>24</v>
      </c>
      <c r="C59" s="144" t="s">
        <v>132</v>
      </c>
      <c r="D59" s="137"/>
      <c r="E59" s="33" t="s">
        <v>168</v>
      </c>
      <c r="F59" s="99">
        <v>11</v>
      </c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6.5" customHeight="1" x14ac:dyDescent="0.3">
      <c r="A60" s="19"/>
      <c r="B60" s="34" t="s">
        <v>22</v>
      </c>
      <c r="C60" s="146" t="s">
        <v>131</v>
      </c>
      <c r="D60" s="137"/>
      <c r="E60" s="35" t="s">
        <v>168</v>
      </c>
      <c r="F60" s="99">
        <v>39</v>
      </c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6.5" customHeight="1" x14ac:dyDescent="0.3">
      <c r="A61" s="14"/>
      <c r="B61" s="170" t="s">
        <v>167</v>
      </c>
      <c r="C61" s="136"/>
      <c r="D61" s="137"/>
      <c r="E61" s="98"/>
      <c r="F61" s="97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6.5" customHeight="1" x14ac:dyDescent="0.3">
      <c r="A62" s="14"/>
      <c r="B62" s="34" t="s">
        <v>20</v>
      </c>
      <c r="C62" s="161" t="s">
        <v>216</v>
      </c>
      <c r="D62" s="162"/>
      <c r="E62" s="96" t="s">
        <v>37</v>
      </c>
      <c r="F62" s="92">
        <f>526.64*20%</f>
        <v>105.328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6.5" customHeight="1" x14ac:dyDescent="0.3">
      <c r="A63" s="14"/>
      <c r="B63" s="34" t="s">
        <v>18</v>
      </c>
      <c r="C63" s="161" t="s">
        <v>166</v>
      </c>
      <c r="D63" s="162"/>
      <c r="E63" s="96"/>
      <c r="F63" s="92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6.5" customHeight="1" x14ac:dyDescent="0.3">
      <c r="A64" s="19"/>
      <c r="B64" s="34" t="s">
        <v>16</v>
      </c>
      <c r="C64" s="161" t="s">
        <v>165</v>
      </c>
      <c r="D64" s="162"/>
      <c r="E64" s="96"/>
      <c r="F64" s="92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6.5" customHeight="1" x14ac:dyDescent="0.3">
      <c r="A65" s="14"/>
      <c r="B65" s="19"/>
      <c r="C65" s="19"/>
      <c r="D65" s="19"/>
      <c r="E65" s="19"/>
      <c r="F65" s="19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6.5" customHeight="1" x14ac:dyDescent="0.3">
      <c r="A66" s="14"/>
      <c r="B66" s="32" t="s">
        <v>164</v>
      </c>
      <c r="C66" s="31"/>
      <c r="D66" s="30"/>
      <c r="E66" s="29"/>
      <c r="F66" s="29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" customHeight="1" x14ac:dyDescent="0.3">
      <c r="A67" s="14"/>
      <c r="B67" s="28" t="s">
        <v>163</v>
      </c>
      <c r="C67" s="138" t="s">
        <v>162</v>
      </c>
      <c r="D67" s="136"/>
      <c r="E67" s="137"/>
      <c r="F67" s="23" t="s">
        <v>156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" customHeight="1" x14ac:dyDescent="0.3">
      <c r="A68" s="14"/>
      <c r="B68" s="28" t="s">
        <v>24</v>
      </c>
      <c r="C68" s="167" t="s">
        <v>161</v>
      </c>
      <c r="D68" s="136"/>
      <c r="E68" s="137"/>
      <c r="F68" s="9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6.5" customHeight="1" x14ac:dyDescent="0.3">
      <c r="A69" s="19"/>
      <c r="B69" s="28" t="s">
        <v>22</v>
      </c>
      <c r="C69" s="135" t="s">
        <v>155</v>
      </c>
      <c r="D69" s="136"/>
      <c r="E69" s="137"/>
      <c r="F69" s="94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6.5" customHeight="1" x14ac:dyDescent="0.3">
      <c r="A70" s="24"/>
      <c r="B70" s="19"/>
      <c r="C70" s="19"/>
      <c r="D70" s="19"/>
      <c r="E70" s="19"/>
      <c r="F70" s="19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" customHeight="1" x14ac:dyDescent="0.3">
      <c r="A71" s="24"/>
      <c r="B71" s="32" t="s">
        <v>29</v>
      </c>
      <c r="C71" s="31"/>
      <c r="D71" s="30"/>
      <c r="E71" s="14"/>
      <c r="F71" s="1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6.5" customHeight="1" x14ac:dyDescent="0.3">
      <c r="A72" s="24"/>
      <c r="B72" s="32" t="s">
        <v>28</v>
      </c>
      <c r="C72" s="31"/>
      <c r="D72" s="30"/>
      <c r="E72" s="29"/>
      <c r="F72" s="29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6.5" customHeight="1" x14ac:dyDescent="0.3">
      <c r="A73" s="19"/>
      <c r="B73" s="28" t="s">
        <v>27</v>
      </c>
      <c r="C73" s="143" t="s">
        <v>26</v>
      </c>
      <c r="D73" s="136"/>
      <c r="E73" s="137"/>
      <c r="F73" s="23" t="s">
        <v>41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6.5" customHeight="1" x14ac:dyDescent="0.3">
      <c r="A74" s="14"/>
      <c r="B74" s="23" t="s">
        <v>24</v>
      </c>
      <c r="C74" s="168" t="s">
        <v>160</v>
      </c>
      <c r="D74" s="169"/>
      <c r="E74" s="162"/>
      <c r="F74" s="95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6.5" customHeight="1" x14ac:dyDescent="0.3">
      <c r="A75" s="14"/>
      <c r="B75" s="19"/>
      <c r="C75" s="19"/>
      <c r="D75" s="19"/>
      <c r="E75" s="19"/>
      <c r="F75" s="19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6.5" customHeight="1" x14ac:dyDescent="0.3">
      <c r="A76" s="14"/>
      <c r="B76" s="32" t="s">
        <v>159</v>
      </c>
      <c r="C76" s="31"/>
      <c r="D76" s="30"/>
      <c r="E76" s="29"/>
      <c r="F76" s="29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6.5" customHeight="1" x14ac:dyDescent="0.3">
      <c r="A77" s="19"/>
      <c r="B77" s="28" t="s">
        <v>158</v>
      </c>
      <c r="C77" s="138" t="s">
        <v>157</v>
      </c>
      <c r="D77" s="136"/>
      <c r="E77" s="137"/>
      <c r="F77" s="23" t="s">
        <v>156</v>
      </c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6.5" customHeight="1" x14ac:dyDescent="0.3">
      <c r="A78" s="14"/>
      <c r="B78" s="28" t="s">
        <v>24</v>
      </c>
      <c r="C78" s="135" t="s">
        <v>155</v>
      </c>
      <c r="D78" s="136"/>
      <c r="E78" s="137"/>
      <c r="F78" s="9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 x14ac:dyDescent="0.3">
      <c r="A79" s="14"/>
      <c r="B79" s="19"/>
      <c r="C79" s="19"/>
      <c r="D79" s="19"/>
      <c r="E79" s="19"/>
      <c r="F79" s="19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6.5" customHeight="1" x14ac:dyDescent="0.3">
      <c r="A80" s="14"/>
      <c r="B80" s="32" t="s">
        <v>130</v>
      </c>
      <c r="C80" s="31"/>
      <c r="D80" s="31"/>
      <c r="E80" s="29"/>
      <c r="F80" s="29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6.5" customHeight="1" x14ac:dyDescent="0.3">
      <c r="A81" s="14"/>
      <c r="B81" s="70">
        <v>5</v>
      </c>
      <c r="C81" s="163" t="s">
        <v>109</v>
      </c>
      <c r="D81" s="164"/>
      <c r="E81" s="165"/>
      <c r="F81" s="69" t="s">
        <v>125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6.5" customHeight="1" x14ac:dyDescent="0.3">
      <c r="A82" s="14"/>
      <c r="B82" s="67" t="s">
        <v>24</v>
      </c>
      <c r="C82" s="166" t="s">
        <v>129</v>
      </c>
      <c r="D82" s="164"/>
      <c r="E82" s="165"/>
      <c r="F82" s="93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6.5" customHeight="1" x14ac:dyDescent="0.3">
      <c r="A83" s="14"/>
      <c r="B83" s="67" t="s">
        <v>22</v>
      </c>
      <c r="C83" s="181" t="s">
        <v>128</v>
      </c>
      <c r="D83" s="164"/>
      <c r="E83" s="165"/>
      <c r="F83" s="93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6.5" customHeight="1" x14ac:dyDescent="0.3">
      <c r="A84" s="19"/>
      <c r="B84" s="67" t="s">
        <v>20</v>
      </c>
      <c r="C84" s="166" t="s">
        <v>127</v>
      </c>
      <c r="D84" s="164"/>
      <c r="E84" s="165"/>
      <c r="F84" s="93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6.5" customHeight="1" x14ac:dyDescent="0.3">
      <c r="A85" s="14"/>
      <c r="B85" s="67" t="s">
        <v>18</v>
      </c>
      <c r="C85" s="161" t="s">
        <v>154</v>
      </c>
      <c r="D85" s="169"/>
      <c r="E85" s="162"/>
      <c r="F85" s="92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6.5" customHeight="1" x14ac:dyDescent="0.3">
      <c r="A86" s="14"/>
      <c r="B86" s="19"/>
      <c r="C86" s="19"/>
      <c r="D86" s="19"/>
      <c r="E86" s="19"/>
      <c r="F86" s="1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6.5" customHeight="1" x14ac:dyDescent="0.3">
      <c r="A87" s="52"/>
      <c r="B87" s="182" t="s">
        <v>126</v>
      </c>
      <c r="C87" s="141"/>
      <c r="D87" s="141"/>
      <c r="E87" s="141"/>
      <c r="F87" s="141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6.5" customHeight="1" x14ac:dyDescent="0.3">
      <c r="A88" s="52"/>
      <c r="B88" s="28">
        <v>6</v>
      </c>
      <c r="C88" s="138" t="s">
        <v>108</v>
      </c>
      <c r="D88" s="136"/>
      <c r="E88" s="137"/>
      <c r="F88" s="23" t="s">
        <v>41</v>
      </c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16.5" customHeight="1" x14ac:dyDescent="0.3">
      <c r="A89" s="53"/>
      <c r="B89" s="28" t="s">
        <v>24</v>
      </c>
      <c r="C89" s="139" t="s">
        <v>124</v>
      </c>
      <c r="D89" s="136"/>
      <c r="E89" s="137"/>
      <c r="F89" s="91">
        <v>4.7300000000000004</v>
      </c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16.5" customHeight="1" x14ac:dyDescent="0.3">
      <c r="A90" s="14"/>
      <c r="B90" s="23" t="s">
        <v>22</v>
      </c>
      <c r="C90" s="135" t="s">
        <v>123</v>
      </c>
      <c r="D90" s="136"/>
      <c r="E90" s="137"/>
      <c r="F90" s="91">
        <v>5.57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6.5" customHeight="1" x14ac:dyDescent="0.3">
      <c r="A91" s="14"/>
      <c r="B91" s="58" t="s">
        <v>121</v>
      </c>
      <c r="C91" s="139" t="s">
        <v>120</v>
      </c>
      <c r="D91" s="136"/>
      <c r="E91" s="137"/>
      <c r="F91" s="91">
        <v>0.65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6.5" customHeight="1" x14ac:dyDescent="0.3">
      <c r="A92" s="19"/>
      <c r="B92" s="58" t="s">
        <v>119</v>
      </c>
      <c r="C92" s="135" t="s">
        <v>118</v>
      </c>
      <c r="D92" s="136"/>
      <c r="E92" s="137"/>
      <c r="F92" s="91">
        <v>3</v>
      </c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6.5" customHeight="1" x14ac:dyDescent="0.3">
      <c r="A93" s="14"/>
      <c r="B93" s="58" t="s">
        <v>117</v>
      </c>
      <c r="C93" s="139" t="s">
        <v>116</v>
      </c>
      <c r="D93" s="136"/>
      <c r="E93" s="137"/>
      <c r="F93" s="91">
        <v>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4.25" customHeight="1" x14ac:dyDescent="0.3">
      <c r="A94" s="14"/>
      <c r="B94" s="19"/>
      <c r="C94" s="19"/>
      <c r="D94" s="19"/>
      <c r="E94" s="19"/>
      <c r="F94" s="19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2.25" customHeight="1" x14ac:dyDescent="0.3">
      <c r="A95" s="14"/>
      <c r="B95" s="18" t="s">
        <v>8</v>
      </c>
      <c r="C95" s="17"/>
      <c r="D95" s="17"/>
      <c r="E95" s="17"/>
      <c r="F95" s="16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6.75" customHeight="1" x14ac:dyDescent="0.3">
      <c r="A96" s="14"/>
      <c r="B96" s="140" t="s">
        <v>7</v>
      </c>
      <c r="C96" s="141"/>
      <c r="D96" s="141"/>
      <c r="E96" s="141"/>
      <c r="F96" s="141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6.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6.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6.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6.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6.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6.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6.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6.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6.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6.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6.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6.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6.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6.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6.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6.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6.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6.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6.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6.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6.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6.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6.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6.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6.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6.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6.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6.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6.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6.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6.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6.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6.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6.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6.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6.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6.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6.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6.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6.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6.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6.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6.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6.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6.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6.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6.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6.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6.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6.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6.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6.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6.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6.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6.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6.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6.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6.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6.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6.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6.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6.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6.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6.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6.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6.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6.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6.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6.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6.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6.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6.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6.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6.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6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6.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6.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6.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6.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6.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6.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6.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6.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6.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6.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6.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6.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6.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6.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6.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6.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6.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6.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6.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6.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6.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6.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6.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6.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6.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6.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6.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6.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6.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6.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6.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6.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6.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6.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6.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6.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6.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6.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6.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6.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6.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6.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6.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6.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6.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6.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6.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6.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6.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6.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6.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6.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6.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6.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6.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6.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6.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6.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6.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6.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6.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6.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6.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6.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6.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6.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6.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6.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6.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6.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6.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6.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6.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6.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6.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6.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6.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6.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6.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6.5" customHeight="1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6.5" customHeight="1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6.5" customHeight="1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6.5" customHeight="1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6.5" customHeight="1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6.5" customHeight="1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6.5" customHeight="1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6.5" customHeight="1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6.5" customHeight="1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6.5" customHeight="1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6.5" customHeight="1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6.5" customHeight="1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6.5" customHeight="1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6.5" customHeight="1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6.5" customHeight="1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6.5" customHeight="1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6.5" customHeight="1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6.5" customHeight="1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6.5" customHeight="1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6.5" customHeight="1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6.5" customHeight="1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6.5" customHeight="1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6.5" customHeight="1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6.5" customHeight="1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6.5" customHeight="1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6.5" customHeight="1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6.5" customHeight="1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6.5" customHeight="1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6.5" customHeight="1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6.5" customHeight="1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6.5" customHeight="1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6.5" customHeight="1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6.5" customHeight="1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6.5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6.5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6.5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6.5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6.5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6.5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6.5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6.5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6.5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6.5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6.5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6.5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6.5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6.5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6.5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6.5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6.5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6.5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6.5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6.5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6.5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6.5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6.5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6.5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6.5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6.5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6.5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6.5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6.5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6.5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6.5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6.5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6.5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6.5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6.5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6.5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6.5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6.5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6.5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6.5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6.5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6.5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6.5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6.5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6.5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6.5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6.5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6.5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6.5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6.5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6.5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6.5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6.5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6.5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6.5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6.5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6.5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6.5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6.5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6.5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6.5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6.5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6.5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6.5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6.5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6.5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6.5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6.5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6.5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6.5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6.5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6.5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6.5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6.5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6.5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6.5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6.5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6.5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6.5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6.5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6.5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6.5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6.5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6.5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6.5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6.5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6.5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6.5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6.5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6.5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6.5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6.5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6.5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6.5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6.5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6.5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6.5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6.5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6.5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6.5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6.5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6.5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6.5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6.5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6.5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6.5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6.5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6.5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6.5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6.5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6.5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6.5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6.5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6.5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6.5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6.5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6.5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6.5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6.5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6.5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6.5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6.5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6.5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6.5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6.5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6.5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6.5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6.5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6.5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6.5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6.5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6.5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6.5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6.5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6.5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6.5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6.5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6.5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6.5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6.5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6.5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6.5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6.5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6.5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6.5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6.5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6.5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6.5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6.5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6.5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6.5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6.5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6.5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6.5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6.5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6.5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6.5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6.5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6.5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6.5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6.5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6.5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6.5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6.5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6.5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6.5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6.5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6.5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6.5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6.5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6.5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6.5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6.5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6.5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6.5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6.5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6.5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6.5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6.5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6.5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6.5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6.5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6.5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6.5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6.5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6.5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6.5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6.5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6.5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6.5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6.5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6.5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6.5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6.5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6.5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6.5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6.5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6.5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6.5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6.5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6.5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6.5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6.5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6.5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6.5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6.5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6.5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6.5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6.5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6.5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6.5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6.5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6.5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6.5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6.5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6.5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6.5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6.5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6.5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6.5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6.5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6.5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6.5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6.5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6.5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6.5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6.5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6.5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6.5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6.5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6.5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6.5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6.5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6.5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6.5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6.5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6.5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6.5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6.5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6.5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6.5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6.5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6.5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6.5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6.5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6.5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6.5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6.5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6.5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6.5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6.5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6.5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6.5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6.5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6.5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6.5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6.5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6.5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6.5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6.5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6.5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6.5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6.5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6.5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6.5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6.5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6.5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6.5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6.5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6.5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6.5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6.5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6.5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6.5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6.5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6.5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6.5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6.5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6.5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6.5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6.5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6.5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6.5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6.5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6.5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6.5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6.5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6.5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6.5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6.5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6.5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6.5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6.5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6.5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6.5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6.5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6.5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6.5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6.5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6.5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6.5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6.5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6.5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6.5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6.5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6.5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6.5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6.5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6.5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6.5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6.5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6.5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6.5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6.5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6.5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6.5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6.5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6.5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6.5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6.5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6.5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6.5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6.5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6.5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6.5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6.5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6.5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6.5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6.5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6.5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6.5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6.5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6.5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6.5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6.5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6.5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6.5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6.5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6.5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6.5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6.5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6.5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6.5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6.5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6.5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6.5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6.5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6.5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6.5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6.5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6.5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6.5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6.5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6.5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6.5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6.5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6.5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6.5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6.5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6.5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6.5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6.5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6.5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6.5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6.5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6.5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6.5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6.5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6.5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6.5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6.5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6.5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6.5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6.5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6.5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6.5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6.5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6.5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6.5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6.5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6.5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6.5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6.5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6.5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6.5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6.5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6.5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6.5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6.5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6.5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6.5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6.5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6.5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6.5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6.5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6.5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6.5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6.5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6.5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6.5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6.5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6.5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6.5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6.5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6.5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6.5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6.5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6.5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6.5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6.5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6.5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6.5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6.5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6.5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6.5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6.5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6.5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6.5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6.5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6.5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6.5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6.5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6.5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6.5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6.5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6.5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6.5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6.5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6.5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6.5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6.5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6.5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6.5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6.5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6.5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6.5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6.5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6.5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6.5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6.5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6.5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6.5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6.5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6.5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6.5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6.5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6.5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6.5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6.5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6.5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6.5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6.5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6.5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6.5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6.5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6.5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6.5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6.5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6.5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6.5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6.5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6.5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6.5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6.5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6.5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6.5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6.5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6.5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6.5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6.5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6.5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6.5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6.5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6.5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6.5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6.5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6.5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6.5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6.5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6.5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6.5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6.5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6.5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6.5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6.5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6.5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6.5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6.5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6.5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6.5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6.5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6.5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6.5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6.5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6.5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6.5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6.5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6.5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6.5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6.5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6.5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6.5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6.5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6.5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6.5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6.5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6.5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6.5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6.5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6.5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6.5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6.5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6.5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6.5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6.5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6.5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6.5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6.5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6.5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6.5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6.5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6.5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6.5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6.5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6.5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6.5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6.5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6.5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6.5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6.5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6.5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6.5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6.5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6.5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6.5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6.5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6.5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6.5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6.5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6.5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6.5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6.5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6.5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6.5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6.5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6.5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6.5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6.5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6.5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6.5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6.5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6.5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6.5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6.5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6.5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6.5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6.5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6.5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6.5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6.5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6.5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6.5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6.5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6.5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6.5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6.5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6.5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6.5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6.5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6.5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6.5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6.5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6.5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6.5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6.5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6.5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6.5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6.5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6.5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6.5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6.5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6.5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6.5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6.5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6.5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6.5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6.5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6.5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6.5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6.5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6.5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6.5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6.5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6.5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6.5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6.5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6.5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6.5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6.5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6.5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6.5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6.5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6.5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6.5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6.5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6.5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6.5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6.5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6.5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6.5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6.5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6.5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6.5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6.5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6.5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6.5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6.5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6.5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6.5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6.5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6.5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6.5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6.5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6.5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6.5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6.5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6.5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6.5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6.5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6.5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6.5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6.5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6.5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6.5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6.5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6.5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6.5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6.5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6.5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6.5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6.5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6.5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6.5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6.5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6.5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6.5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6.5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6.5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6.5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6.5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6.5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6.5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6.5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6.5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6.5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6.5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6.5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6.5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6.5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6.5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6.5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6.5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6.5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6.5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6.5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6.5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6.5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6.5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6.5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6.5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6.5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6.5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6.5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6.5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6.5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6.5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6.5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6.5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6.5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6.5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6.5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6.5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6.5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6.5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6.5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6.5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6.5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6.5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6.5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6.5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6.5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6.5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6.5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6.5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6.5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6.5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6.5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6.5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6.5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6.5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6.5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6.5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6.5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6.5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6.5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6.5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6.5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6.5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6.5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6.5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6.5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6.5" customHeight="1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6.5" customHeight="1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6.5" customHeight="1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6.5" customHeight="1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 spans="1:26" ht="16.5" customHeight="1" x14ac:dyDescent="0.3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  <row r="1002" spans="1:26" ht="16.5" customHeight="1" x14ac:dyDescent="0.3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</row>
    <row r="1003" spans="1:26" ht="16.5" customHeight="1" x14ac:dyDescent="0.3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</row>
    <row r="1004" spans="1:26" ht="16.5" customHeight="1" x14ac:dyDescent="0.3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</row>
    <row r="1005" spans="1:26" ht="16.5" customHeight="1" x14ac:dyDescent="0.3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</row>
    <row r="1006" spans="1:26" ht="16.5" customHeight="1" x14ac:dyDescent="0.3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</row>
    <row r="1007" spans="1:26" ht="16.5" customHeight="1" x14ac:dyDescent="0.3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</row>
    <row r="1008" spans="1:26" ht="16.5" customHeight="1" x14ac:dyDescent="0.3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</row>
    <row r="1009" spans="1:26" ht="16.5" customHeight="1" x14ac:dyDescent="0.3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</row>
    <row r="1010" spans="1:26" ht="16.5" customHeight="1" x14ac:dyDescent="0.3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</row>
    <row r="1011" spans="1:26" ht="16.5" customHeight="1" x14ac:dyDescent="0.3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</row>
    <row r="1012" spans="1:26" ht="16.5" customHeight="1" x14ac:dyDescent="0.3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</row>
  </sheetData>
  <mergeCells count="69">
    <mergeCell ref="C91:E91"/>
    <mergeCell ref="C92:E92"/>
    <mergeCell ref="C93:E93"/>
    <mergeCell ref="B96:F96"/>
    <mergeCell ref="C83:E83"/>
    <mergeCell ref="C84:E84"/>
    <mergeCell ref="C85:E85"/>
    <mergeCell ref="B87:F87"/>
    <mergeCell ref="C88:E88"/>
    <mergeCell ref="C89:E89"/>
    <mergeCell ref="C90:E90"/>
    <mergeCell ref="B1:F1"/>
    <mergeCell ref="B2:D2"/>
    <mergeCell ref="B4:F4"/>
    <mergeCell ref="B5:F5"/>
    <mergeCell ref="B6:C6"/>
    <mergeCell ref="D6:F6"/>
    <mergeCell ref="D7:E7"/>
    <mergeCell ref="B7:C7"/>
    <mergeCell ref="B8:C8"/>
    <mergeCell ref="C15:E15"/>
    <mergeCell ref="B17:F17"/>
    <mergeCell ref="B24:E24"/>
    <mergeCell ref="B26:F26"/>
    <mergeCell ref="D8:E8"/>
    <mergeCell ref="B10:F10"/>
    <mergeCell ref="C11:E11"/>
    <mergeCell ref="D12:F12"/>
    <mergeCell ref="C13:E13"/>
    <mergeCell ref="C14:E14"/>
    <mergeCell ref="C44:E44"/>
    <mergeCell ref="C45:E45"/>
    <mergeCell ref="C40:E40"/>
    <mergeCell ref="C41:E41"/>
    <mergeCell ref="C42:E42"/>
    <mergeCell ref="C43:E43"/>
    <mergeCell ref="C63:D63"/>
    <mergeCell ref="C46:E46"/>
    <mergeCell ref="C47:E47"/>
    <mergeCell ref="C48:E48"/>
    <mergeCell ref="C49:E49"/>
    <mergeCell ref="C54:E54"/>
    <mergeCell ref="C55:E55"/>
    <mergeCell ref="C58:D58"/>
    <mergeCell ref="C59:D59"/>
    <mergeCell ref="C60:D60"/>
    <mergeCell ref="B61:D61"/>
    <mergeCell ref="C62:D62"/>
    <mergeCell ref="C64:D64"/>
    <mergeCell ref="C67:E67"/>
    <mergeCell ref="C78:E78"/>
    <mergeCell ref="C81:E81"/>
    <mergeCell ref="C82:E82"/>
    <mergeCell ref="C68:E68"/>
    <mergeCell ref="C69:E69"/>
    <mergeCell ref="C73:E73"/>
    <mergeCell ref="C74:E74"/>
    <mergeCell ref="C77:E77"/>
    <mergeCell ref="B39:B43"/>
    <mergeCell ref="B27:B31"/>
    <mergeCell ref="C31:E31"/>
    <mergeCell ref="C29:E29"/>
    <mergeCell ref="C32:E32"/>
    <mergeCell ref="C30:E30"/>
    <mergeCell ref="C28:E28"/>
    <mergeCell ref="C33:E33"/>
    <mergeCell ref="C34:E34"/>
    <mergeCell ref="C38:E38"/>
    <mergeCell ref="C39:E39"/>
  </mergeCells>
  <dataValidations count="15">
    <dataValidation type="decimal" operator="lessThanOrEqual" allowBlank="1" showInputMessage="1" showErrorMessage="1" prompt="Erro na inserção de dados. - O percentual máximo de desconto para empresas que aderem ao Programa de Assistência ao Trabalhador (PAT) é de 20%, conforme o disposto no art. 645, § 2º, do Decreto nº 9.580/18." sqref="F61" xr:uid="{00000000-0002-0000-0000-00000E000000}">
      <formula1>20</formula1>
    </dataValidation>
    <dataValidation type="decimal" operator="equal" allowBlank="1" showInputMessage="1" prompt="Atentar para o percentual. - Tem certeza que o percentual do PIS é diferente de 0,65%, previsto no art. 31 da Lei nº 10.833/2003?" sqref="F91" xr:uid="{00000000-0002-0000-0000-00000D000000}">
      <formula1>0.65</formula1>
    </dataValidation>
    <dataValidation type="decimal" allowBlank="1" showInputMessage="1" prompt="Intervalo Intrajornada - Segundo estudos da Audin-MPU, esse item não é usual nas planilhas do MPU. Verifique se realmente há necessidade de incluí-lo." sqref="F69" xr:uid="{00000000-0002-0000-0000-00000C000000}">
      <formula1>30</formula1>
      <formula2>60</formula2>
    </dataValidation>
    <dataValidation type="list" allowBlank="1" showInputMessage="1" prompt="Atentar para a base de cálculo. - Tem certeza que o adicional de insalubridade tem como base de cálculo o salário normativo previsto na CCT?" sqref="F24" xr:uid="{00000000-0002-0000-0000-00000B000000}">
      <formula1>"CCT,Salário Mínimo"</formula1>
    </dataValidation>
    <dataValidation type="decimal" operator="equal" allowBlank="1" showInputMessage="1" prompt="Atentar para o percentual. - Tem certeza que o percentual do Cofins é diferente de 3%, previsto no art. 31 da Lei nº 10.833/2003?" sqref="F92" xr:uid="{00000000-0002-0000-0000-00000A000000}">
      <formula1>3</formula1>
    </dataValidation>
    <dataValidation type="list" allowBlank="1" showInputMessage="1" showErrorMessage="1" prompt="Erro na inserção de dados. - De acordo com o art. 192 da CLT, estão previstos somente os percentuais de 40% (máximo), 20% (médio) ou 10% (mínimo), conforme for a exposição ao risco." sqref="F46" xr:uid="{00000000-0002-0000-0000-000009000000}">
      <formula1>"0,10,20,40"</formula1>
    </dataValidation>
    <dataValidation type="decimal" allowBlank="1" showInputMessage="1" showErrorMessage="1" prompt="Erro na inserção de dados. - O percentual de ISS deve estar entre 2 e 5%, conforme o inciso I do artigo 8º e o caput do art. 8º-A da Lei Complementar nº 116/2003." sqref="F93" xr:uid="{00000000-0002-0000-0000-000008000000}">
      <formula1>2</formula1>
      <formula2>5</formula2>
    </dataValidation>
    <dataValidation type="decimal" operator="equal" allowBlank="1" showInputMessage="1" prompt="Intervalo Intrajornada - Segundo estudos da Audin-MPU, esse item não é usual nas planilhas do MPU. Verifique se realmente há necessidade de incluí-lo." sqref="F78" xr:uid="{00000000-0002-0000-0000-000007000000}">
      <formula1>0</formula1>
    </dataValidation>
    <dataValidation type="decimal" allowBlank="1" showInputMessage="1" showErrorMessage="1" prompt="Erro na inserção de dados - O FAP é um multiplicador, atualmente calculado por estabelecimento, que varia de 0,5000 a 2,0000, conforme previsto no art. 10 da Lei nº 10.666/03." sqref="F55" xr:uid="{00000000-0002-0000-0000-000006000000}">
      <formula1>0.5</formula1>
      <formula2>2</formula2>
    </dataValidation>
    <dataValidation type="decimal" operator="greaterThanOrEqual" allowBlank="1" showInputMessage="1" prompt="Atentar para o valor do salário. - Tem certeza que o valor do salário-base é menor do que o salário mínimo vigente no país?" sqref="F39" xr:uid="{00000000-0002-0000-0000-000005000000}">
      <formula1>F34</formula1>
    </dataValidation>
    <dataValidation type="decimal" operator="greaterThanOrEqual" allowBlank="1" showInputMessage="1" showErrorMessage="1" prompt="Intervalo Intrajornada - Segundo estudos da Audin-MPU, esse item não é usual nas planilhas do MPU. Verifique se realmente há necessidade de incluí-lo." sqref="F68" xr:uid="{00000000-0002-0000-0000-000004000000}">
      <formula1>50</formula1>
    </dataValidation>
    <dataValidation type="list" allowBlank="1" showInputMessage="1" prompt="Atenção! - Se a resposta for &quot;Sim&quot;, deverá ser incluído o percentual do PAT na coluna ao lado. Caso seja &quot;Não&quot;, não há necessidade." sqref="E61" xr:uid="{00000000-0002-0000-0000-000003000000}">
      <formula1>"Sim,Não"</formula1>
    </dataValidation>
    <dataValidation type="decimal" allowBlank="1" showInputMessage="1" prompt="Erro na inserção de dados. - O percentual recomendado de custos indiretos é de 4,73%, conforme estudos realizados pela Auditoria Interna do MPU." sqref="F89" xr:uid="{00000000-0002-0000-0000-000002000000}">
      <formula1>0</formula1>
      <formula2>4.73</formula2>
    </dataValidation>
    <dataValidation type="list" allowBlank="1" showErrorMessage="1" sqref="F13" xr:uid="{00000000-0002-0000-0000-000001000000}">
      <formula1>"AC,AL,AP,AM,BA,CE,DF,ES,GO,MA,MG,MS,MT,PA,PB,PR,PE,PI,RJ,RN,RO,RR,RS,SC,SP,SE,TO"</formula1>
    </dataValidation>
    <dataValidation type="decimal" allowBlank="1" showInputMessage="1" prompt="Erro na inserção de dados. - O percentual recomendado de lucro é de 5,57%, conforme estudos realizados pela Auditoria Interna do MPU." sqref="F90" xr:uid="{00000000-0002-0000-0000-000000000000}">
      <formula1>0</formula1>
      <formula2>5.57</formula2>
    </dataValidation>
  </dataValidations>
  <pageMargins left="0.17" right="0.17" top="0.46" bottom="1.06" header="0" footer="0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92F4-BD36-442D-8067-3DAB3ACA34DD}">
  <dimension ref="A1:Z1000"/>
  <sheetViews>
    <sheetView tabSelected="1" topLeftCell="A82" workbookViewId="0">
      <selection activeCell="F101" sqref="F101"/>
    </sheetView>
  </sheetViews>
  <sheetFormatPr defaultColWidth="12.5703125" defaultRowHeight="15" customHeight="1" x14ac:dyDescent="0.25"/>
  <cols>
    <col min="1" max="1" width="2.7109375" style="13" customWidth="1"/>
    <col min="2" max="2" width="8.85546875" style="13" customWidth="1"/>
    <col min="3" max="3" width="52.5703125" style="13" customWidth="1"/>
    <col min="4" max="4" width="15.7109375" style="13" customWidth="1"/>
    <col min="5" max="5" width="13.5703125" style="13" customWidth="1"/>
    <col min="6" max="6" width="19.42578125" style="13" customWidth="1"/>
    <col min="7" max="26" width="9.140625" style="13" customWidth="1"/>
    <col min="27" max="16384" width="12.5703125" style="13"/>
  </cols>
  <sheetData>
    <row r="1" spans="1:26" ht="16.5" customHeight="1" x14ac:dyDescent="0.35">
      <c r="A1" s="14"/>
      <c r="B1" s="192" t="str">
        <f>RAMO</f>
        <v>RAMO: CONSELHO NACIONAL DO MINISTÉRIO PÚBLICO</v>
      </c>
      <c r="C1" s="136"/>
      <c r="D1" s="136"/>
      <c r="E1" s="136"/>
      <c r="F1" s="137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6.5" customHeight="1" x14ac:dyDescent="0.35">
      <c r="A2" s="14"/>
      <c r="B2" s="193" t="str">
        <f>UG</f>
        <v>UNIDADE GESTORA (SIGLA): CNMP</v>
      </c>
      <c r="C2" s="136"/>
      <c r="D2" s="137"/>
      <c r="E2" s="90" t="s">
        <v>153</v>
      </c>
      <c r="F2" s="89">
        <f>DATA_DO_ORCAMENTO_ESTIMATIVO</f>
        <v>46149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5.5" x14ac:dyDescent="0.5">
      <c r="A3" s="24"/>
      <c r="B3" s="179" t="s">
        <v>152</v>
      </c>
      <c r="C3" s="141"/>
      <c r="D3" s="141"/>
      <c r="E3" s="141"/>
      <c r="F3" s="14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 x14ac:dyDescent="0.3">
      <c r="A4" s="24"/>
      <c r="B4" s="172" t="s">
        <v>151</v>
      </c>
      <c r="C4" s="173"/>
      <c r="D4" s="173"/>
      <c r="E4" s="173"/>
      <c r="F4" s="17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3">
      <c r="A5" s="24"/>
      <c r="B5" s="144" t="s">
        <v>150</v>
      </c>
      <c r="C5" s="137"/>
      <c r="D5" s="185" t="str">
        <f>NUMERO_PROCESSO</f>
        <v>19.00.6300.0004747/2025-48</v>
      </c>
      <c r="E5" s="136"/>
      <c r="F5" s="13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3">
      <c r="A6" s="24"/>
      <c r="B6" s="146" t="s">
        <v>149</v>
      </c>
      <c r="C6" s="137"/>
      <c r="D6" s="188" t="str">
        <f>MODALIDADE_DE_LICITACAO</f>
        <v>Pregão nº</v>
      </c>
      <c r="E6" s="137"/>
      <c r="F6" s="88" t="str">
        <f>NUMERO_PREGAO</f>
        <v>XX/20XX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3">
      <c r="A7" s="24"/>
      <c r="B7" s="189" t="s">
        <v>148</v>
      </c>
      <c r="C7" s="190"/>
      <c r="D7" s="190"/>
      <c r="E7" s="190"/>
      <c r="F7" s="190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8" customHeight="1" x14ac:dyDescent="0.3">
      <c r="A8" s="24"/>
      <c r="B8" s="74" t="s">
        <v>24</v>
      </c>
      <c r="C8" s="144" t="s">
        <v>147</v>
      </c>
      <c r="D8" s="136"/>
      <c r="E8" s="137"/>
      <c r="F8" s="87" t="str">
        <f>DATA_APRESENTACAO_PROPOSTA</f>
        <v>XX/XX/20XX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 x14ac:dyDescent="0.25">
      <c r="A9" s="24"/>
      <c r="B9" s="28" t="s">
        <v>22</v>
      </c>
      <c r="C9" s="45" t="s">
        <v>146</v>
      </c>
      <c r="D9" s="142" t="str">
        <f>IF(LOCAL_DE_EXECUCAO="","",LOCAL_DE_EXECUCAO)</f>
        <v>CNMP</v>
      </c>
      <c r="E9" s="136"/>
      <c r="F9" s="137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8.75" customHeight="1" x14ac:dyDescent="0.3">
      <c r="A10" s="24"/>
      <c r="B10" s="74" t="s">
        <v>20</v>
      </c>
      <c r="C10" s="144" t="s">
        <v>145</v>
      </c>
      <c r="D10" s="136"/>
      <c r="E10" s="137"/>
      <c r="F10" s="86" t="str">
        <f>ACORDO_COLETIVO</f>
        <v>717/2025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3">
      <c r="A11" s="24"/>
      <c r="B11" s="28" t="s">
        <v>18</v>
      </c>
      <c r="C11" s="142" t="s">
        <v>144</v>
      </c>
      <c r="D11" s="136"/>
      <c r="E11" s="137"/>
      <c r="F11" s="35">
        <f>NUMERO_MESES_EXEC_CONTRATUAL</f>
        <v>60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6.5" customHeight="1" x14ac:dyDescent="0.3">
      <c r="A12" s="24"/>
      <c r="B12" s="28" t="s">
        <v>16</v>
      </c>
      <c r="C12" s="148" t="s">
        <v>143</v>
      </c>
      <c r="D12" s="136"/>
      <c r="E12" s="137"/>
      <c r="F12" s="33">
        <f>IF(GERENTE!QTDE_POSTOS="","",GERENTE!QTDE_POSTOS)</f>
        <v>1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" customHeight="1" x14ac:dyDescent="0.25">
      <c r="A13" s="83"/>
      <c r="B13" s="85" t="s">
        <v>142</v>
      </c>
      <c r="C13" s="84"/>
      <c r="D13" s="84"/>
      <c r="E13" s="84"/>
      <c r="F13" s="84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16.5" customHeight="1" x14ac:dyDescent="0.3">
      <c r="A14" s="24"/>
      <c r="B14" s="74">
        <v>1</v>
      </c>
      <c r="C14" s="144" t="s">
        <v>141</v>
      </c>
      <c r="D14" s="137"/>
      <c r="E14" s="158" t="str">
        <f>'INSERÇÃO-DE-DADOS'!C19</f>
        <v>GERENTE DE SUPORTE TÉCNICO DE TECNOLOGIA DA INFORMAÇÃO</v>
      </c>
      <c r="F14" s="191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6.5" customHeight="1" x14ac:dyDescent="0.3">
      <c r="A15" s="24"/>
      <c r="B15" s="74">
        <v>2</v>
      </c>
      <c r="C15" s="82" t="s">
        <v>140</v>
      </c>
      <c r="D15" s="187" t="str">
        <f>'INSERÇÃO-DE-DADOS'!F27</f>
        <v>1425-30</v>
      </c>
      <c r="E15" s="136"/>
      <c r="F15" s="137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" customHeight="1" x14ac:dyDescent="0.3">
      <c r="A16" s="24"/>
      <c r="B16" s="74">
        <v>3</v>
      </c>
      <c r="C16" s="81" t="s">
        <v>139</v>
      </c>
      <c r="D16" s="185" t="str">
        <f>IF(CATEGORIA_PROFISSIONAL="","",CATEGORIA_PROFISSIONAL)</f>
        <v/>
      </c>
      <c r="E16" s="136"/>
      <c r="F16" s="137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" customHeight="1" x14ac:dyDescent="0.3">
      <c r="A17" s="24"/>
      <c r="B17" s="74">
        <v>4</v>
      </c>
      <c r="C17" s="146" t="s">
        <v>138</v>
      </c>
      <c r="D17" s="136"/>
      <c r="E17" s="137"/>
      <c r="F17" s="80">
        <f>DATA_BASE_CATEGORIA</f>
        <v>46143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 x14ac:dyDescent="0.3">
      <c r="A18" s="79"/>
      <c r="B18" s="186" t="s">
        <v>137</v>
      </c>
      <c r="C18" s="173"/>
      <c r="D18" s="173"/>
      <c r="E18" s="173"/>
      <c r="F18" s="173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16.5" customHeight="1" x14ac:dyDescent="0.3">
      <c r="A19" s="14"/>
      <c r="B19" s="138" t="s">
        <v>136</v>
      </c>
      <c r="C19" s="136"/>
      <c r="D19" s="136"/>
      <c r="E19" s="137"/>
      <c r="F19" s="78">
        <f>IF(EMPREG_POR_POSTO="","",EMPREG_POR_POSTO)</f>
        <v>1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6.5" customHeight="1" x14ac:dyDescent="0.3">
      <c r="A20" s="14"/>
      <c r="B20" s="32" t="s">
        <v>59</v>
      </c>
      <c r="C20" s="14"/>
      <c r="D20" s="14"/>
      <c r="E20" s="40"/>
      <c r="F20" s="4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6.5" customHeight="1" x14ac:dyDescent="0.3">
      <c r="A21" s="14"/>
      <c r="B21" s="28">
        <v>1</v>
      </c>
      <c r="C21" s="143" t="s">
        <v>58</v>
      </c>
      <c r="D21" s="136"/>
      <c r="E21" s="137"/>
      <c r="F21" s="23" t="s">
        <v>125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6.5" customHeight="1" x14ac:dyDescent="0.3">
      <c r="A22" s="14"/>
      <c r="B22" s="28" t="s">
        <v>24</v>
      </c>
      <c r="C22" s="167" t="s">
        <v>135</v>
      </c>
      <c r="D22" s="136"/>
      <c r="E22" s="137"/>
      <c r="F22" s="77">
        <f>SALARIO_BASE</f>
        <v>10365.31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6.5" customHeight="1" x14ac:dyDescent="0.3">
      <c r="A23" s="14"/>
      <c r="B23" s="28" t="s">
        <v>22</v>
      </c>
      <c r="C23" s="135" t="s">
        <v>134</v>
      </c>
      <c r="D23" s="136"/>
      <c r="E23" s="137"/>
      <c r="F23" s="76">
        <f>PERC_ADIC_PERIC%*SALARIO_BASE</f>
        <v>0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 x14ac:dyDescent="0.3">
      <c r="A24" s="14"/>
      <c r="B24" s="28" t="s">
        <v>20</v>
      </c>
      <c r="C24" s="139" t="s">
        <v>133</v>
      </c>
      <c r="D24" s="136"/>
      <c r="E24" s="137"/>
      <c r="F24" s="77">
        <f>PERC_ADIC_INS%*SAL_MINIMO</f>
        <v>0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6.5" customHeight="1" x14ac:dyDescent="0.3">
      <c r="A25" s="14"/>
      <c r="B25" s="28" t="s">
        <v>18</v>
      </c>
      <c r="C25" s="145" t="str">
        <f>OUTROS_REMUNERACAO_1_DESCRICAO</f>
        <v>Outras Remunerações 1 (Especificar)</v>
      </c>
      <c r="D25" s="136"/>
      <c r="E25" s="137"/>
      <c r="F25" s="76">
        <f>OUTROS_REMUNERACAO_1</f>
        <v>0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6.5" customHeight="1" x14ac:dyDescent="0.3">
      <c r="A26" s="14"/>
      <c r="B26" s="28" t="s">
        <v>16</v>
      </c>
      <c r="C26" s="167" t="str">
        <f>OUTROS_REMUNERACAO_2_DESCRICAO</f>
        <v>Outras Remunerações 2 (Especificar)</v>
      </c>
      <c r="D26" s="136"/>
      <c r="E26" s="137"/>
      <c r="F26" s="77">
        <f>OUTROS_REMUNERACAO_2</f>
        <v>0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6.5" customHeight="1" x14ac:dyDescent="0.3">
      <c r="A27" s="14"/>
      <c r="B27" s="28" t="s">
        <v>14</v>
      </c>
      <c r="C27" s="145" t="str">
        <f>OUTROS_REMUNERACAO_3_DESCRICAO</f>
        <v>Outras Remunerações 3 (Especificar)</v>
      </c>
      <c r="D27" s="136"/>
      <c r="E27" s="137"/>
      <c r="F27" s="76">
        <f>OUTROS_REMUNERACAO_3</f>
        <v>0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6.5" customHeight="1" x14ac:dyDescent="0.3">
      <c r="A28" s="14"/>
      <c r="B28" s="143" t="s">
        <v>6</v>
      </c>
      <c r="C28" s="136"/>
      <c r="D28" s="136"/>
      <c r="E28" s="137"/>
      <c r="F28" s="73">
        <f>SUM(F22:F27)</f>
        <v>10365.31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6.5" customHeight="1" x14ac:dyDescent="0.3">
      <c r="A29" s="14"/>
      <c r="B29" s="32" t="s">
        <v>103</v>
      </c>
      <c r="C29" s="14"/>
      <c r="D29" s="14"/>
      <c r="E29" s="47"/>
      <c r="F29" s="47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6.5" customHeight="1" x14ac:dyDescent="0.3">
      <c r="A30" s="14"/>
      <c r="B30" s="32" t="s">
        <v>102</v>
      </c>
      <c r="C30" s="31"/>
      <c r="D30" s="30"/>
      <c r="E30" s="29"/>
      <c r="F30" s="29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6.5" customHeight="1" x14ac:dyDescent="0.3">
      <c r="A31" s="14"/>
      <c r="B31" s="28" t="s">
        <v>101</v>
      </c>
      <c r="C31" s="138" t="s">
        <v>100</v>
      </c>
      <c r="D31" s="137"/>
      <c r="E31" s="23" t="s">
        <v>41</v>
      </c>
      <c r="F31" s="23" t="s">
        <v>125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6.5" customHeight="1" x14ac:dyDescent="0.3">
      <c r="A32" s="14"/>
      <c r="B32" s="28" t="s">
        <v>24</v>
      </c>
      <c r="C32" s="139" t="s">
        <v>99</v>
      </c>
      <c r="D32" s="137"/>
      <c r="E32" s="44">
        <f>PERC_DEC_TERC</f>
        <v>8.3333333333333321</v>
      </c>
      <c r="F32" s="51">
        <f>PERC_DEC_TERC%*GERENTE!MOD_1_REMUNERACAO_44H</f>
        <v>863.77583333333314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6.5" customHeight="1" x14ac:dyDescent="0.3">
      <c r="A33" s="14"/>
      <c r="B33" s="23" t="s">
        <v>22</v>
      </c>
      <c r="C33" s="135" t="s">
        <v>97</v>
      </c>
      <c r="D33" s="137"/>
      <c r="E33" s="42">
        <f>PERC_ADIC_FERIAS</f>
        <v>2.7777777777777777</v>
      </c>
      <c r="F33" s="50">
        <f>PERC_ADIC_FERIAS%*GERENTE!MOD_1_REMUNERACAO_44H</f>
        <v>287.92527777777775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6.5" customHeight="1" x14ac:dyDescent="0.3">
      <c r="A34" s="19"/>
      <c r="B34" s="138" t="s">
        <v>6</v>
      </c>
      <c r="C34" s="136"/>
      <c r="D34" s="136"/>
      <c r="E34" s="137"/>
      <c r="F34" s="71">
        <f>SUM(F32:F33)</f>
        <v>1151.701111111111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31.5" customHeight="1" x14ac:dyDescent="0.3">
      <c r="A35" s="19"/>
      <c r="B35" s="184" t="s">
        <v>95</v>
      </c>
      <c r="C35" s="141"/>
      <c r="D35" s="141"/>
      <c r="E35" s="141"/>
      <c r="F35" s="141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34.5" customHeight="1" x14ac:dyDescent="0.3">
      <c r="A36" s="19"/>
      <c r="B36" s="28" t="s">
        <v>94</v>
      </c>
      <c r="C36" s="143" t="s">
        <v>93</v>
      </c>
      <c r="D36" s="137"/>
      <c r="E36" s="23" t="s">
        <v>41</v>
      </c>
      <c r="F36" s="23" t="s">
        <v>125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6.5" customHeight="1" x14ac:dyDescent="0.3">
      <c r="A37" s="14"/>
      <c r="B37" s="28" t="s">
        <v>24</v>
      </c>
      <c r="C37" s="139" t="s">
        <v>92</v>
      </c>
      <c r="D37" s="137"/>
      <c r="E37" s="44">
        <f>PERC_INSS</f>
        <v>20</v>
      </c>
      <c r="F37" s="51">
        <f>PERC_INSS%*(GERENTE!MOD_1_REMUNERACAO_44H+SUBMOD_2_1_DEC_TERC_ADIC_FERIAS_44H)</f>
        <v>2303.4022222222225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6.5" customHeight="1" x14ac:dyDescent="0.25">
      <c r="A38" s="24"/>
      <c r="B38" s="23" t="s">
        <v>22</v>
      </c>
      <c r="C38" s="135" t="s">
        <v>91</v>
      </c>
      <c r="D38" s="137"/>
      <c r="E38" s="43">
        <f>PERC_SAL_EDUCACAO</f>
        <v>2.5</v>
      </c>
      <c r="F38" s="50">
        <f>PERC_SAL_EDUCACAO%*(GERENTE!MOD_1_REMUNERACAO_44H+SUBMOD_2_1_DEC_TERC_ADIC_FERIAS_44H)</f>
        <v>287.92527777777781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6.5" customHeight="1" x14ac:dyDescent="0.25">
      <c r="A39" s="24"/>
      <c r="B39" s="23" t="s">
        <v>20</v>
      </c>
      <c r="C39" s="139" t="s">
        <v>90</v>
      </c>
      <c r="D39" s="137"/>
      <c r="E39" s="44">
        <f>PERC_RAT</f>
        <v>6</v>
      </c>
      <c r="F39" s="51">
        <f>PERC_RAT%*(GERENTE!MOD_1_REMUNERACAO_44H+SUBMOD_2_1_DEC_TERC_ADIC_FERIAS_44H)</f>
        <v>691.02066666666667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6.5" customHeight="1" x14ac:dyDescent="0.25">
      <c r="A40" s="24"/>
      <c r="B40" s="23" t="s">
        <v>18</v>
      </c>
      <c r="C40" s="135" t="s">
        <v>89</v>
      </c>
      <c r="D40" s="137"/>
      <c r="E40" s="42">
        <f>PERC_SESC</f>
        <v>1.5</v>
      </c>
      <c r="F40" s="50">
        <f>PERC_SESC%*(GERENTE!MOD_1_REMUNERACAO_44H+SUBMOD_2_1_DEC_TERC_ADIC_FERIAS_44H)</f>
        <v>172.75516666666667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6.5" customHeight="1" x14ac:dyDescent="0.25">
      <c r="A41" s="24"/>
      <c r="B41" s="23" t="s">
        <v>16</v>
      </c>
      <c r="C41" s="139" t="s">
        <v>88</v>
      </c>
      <c r="D41" s="137"/>
      <c r="E41" s="44">
        <f>PERC_SENAC</f>
        <v>1</v>
      </c>
      <c r="F41" s="51">
        <f>PERC_SENAC%*(GERENTE!MOD_1_REMUNERACAO_44H+SUBMOD_2_1_DEC_TERC_ADIC_FERIAS_44H)</f>
        <v>115.17011111111111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6.5" customHeight="1" x14ac:dyDescent="0.25">
      <c r="A42" s="24"/>
      <c r="B42" s="23" t="s">
        <v>14</v>
      </c>
      <c r="C42" s="135" t="s">
        <v>87</v>
      </c>
      <c r="D42" s="137"/>
      <c r="E42" s="43">
        <f>PERC_SEBRAE</f>
        <v>0.6</v>
      </c>
      <c r="F42" s="50">
        <f>PERC_SEBRAE%*(GERENTE!MOD_1_REMUNERACAO_44H+SUBMOD_2_1_DEC_TERC_ADIC_FERIAS_44H)</f>
        <v>69.102066666666673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6.5" customHeight="1" x14ac:dyDescent="0.25">
      <c r="A43" s="24"/>
      <c r="B43" s="23" t="s">
        <v>12</v>
      </c>
      <c r="C43" s="139" t="s">
        <v>86</v>
      </c>
      <c r="D43" s="137"/>
      <c r="E43" s="44">
        <f>PERC_INCRA</f>
        <v>0.2</v>
      </c>
      <c r="F43" s="51">
        <f>PERC_INCRA%*(GERENTE!MOD_1_REMUNERACAO_44H+SUBMOD_2_1_DEC_TERC_ADIC_FERIAS_44H)</f>
        <v>23.034022222222223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6.5" customHeight="1" x14ac:dyDescent="0.3">
      <c r="A44" s="14"/>
      <c r="B44" s="23" t="s">
        <v>10</v>
      </c>
      <c r="C44" s="135" t="s">
        <v>85</v>
      </c>
      <c r="D44" s="137"/>
      <c r="E44" s="43">
        <f>PERC_FGTS</f>
        <v>8</v>
      </c>
      <c r="F44" s="50">
        <f>PERC_FGTS%*(GERENTE!MOD_1_REMUNERACAO_44H+SUBMOD_2_1_DEC_TERC_ADIC_FERIAS_44H)</f>
        <v>921.36088888888889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6.5" customHeight="1" x14ac:dyDescent="0.3">
      <c r="A45" s="14"/>
      <c r="B45" s="138" t="s">
        <v>6</v>
      </c>
      <c r="C45" s="136"/>
      <c r="D45" s="136"/>
      <c r="E45" s="137"/>
      <c r="F45" s="75">
        <f>SUM(F37:F44)</f>
        <v>4583.7704222222228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3">
      <c r="A46" s="14"/>
      <c r="B46" s="32" t="s">
        <v>45</v>
      </c>
      <c r="C46" s="24"/>
      <c r="D46" s="24"/>
      <c r="E46" s="24"/>
      <c r="F46" s="2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3">
      <c r="A47" s="14"/>
      <c r="B47" s="28" t="s">
        <v>44</v>
      </c>
      <c r="C47" s="143" t="s">
        <v>43</v>
      </c>
      <c r="D47" s="136"/>
      <c r="E47" s="137"/>
      <c r="F47" s="23" t="s">
        <v>125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6.5" customHeight="1" x14ac:dyDescent="0.3">
      <c r="A48" s="14"/>
      <c r="B48" s="74" t="s">
        <v>24</v>
      </c>
      <c r="C48" s="139" t="s">
        <v>132</v>
      </c>
      <c r="D48" s="136"/>
      <c r="E48" s="137"/>
      <c r="F48" s="51">
        <f>IF(((TRANSPORTE_POR_DIA*DIAS_UTEIS_TRABALHADOS_NO_MES_44HORAS)-(PERC_DESC_TRANSP_REMUNERACAO%*(GERENTE!AL_1_A_SAL_BASE_44H)))&gt;0,((TRANSPORTE_POR_DIA*DIAS_UTEIS_TRABALHADOS_NO_MES_44HORAS)-(PERC_DESC_TRANSP_REMUNERACAO%*(GERENTE!AL_1_A_SAL_BASE_44H))),0)</f>
        <v>0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6.5" customHeight="1" x14ac:dyDescent="0.3">
      <c r="A49" s="19"/>
      <c r="B49" s="74" t="s">
        <v>22</v>
      </c>
      <c r="C49" s="135" t="s">
        <v>131</v>
      </c>
      <c r="D49" s="136"/>
      <c r="E49" s="137"/>
      <c r="F49" s="50">
        <f>IF(AND(ADESAO_AO_PAT="Sim",PERC_PAT&lt;&gt;""),ALIMENTACAO_POR_DIA*DIAS_UTEIS_TRABALHADOS_NO_MES_44HORAS*(100-PERC_PAT)%,IF(AND(ADESAO_AO_PAT="Sim",PERC_PAT=""),"Insira o % do PAT",ALIMENTACAO_POR_DIA*DIAS_UTEIS_TRABALHADOS_NO_MES_44HORAS))</f>
        <v>819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6.5" customHeight="1" x14ac:dyDescent="0.3">
      <c r="A50" s="19"/>
      <c r="B50" s="74" t="s">
        <v>20</v>
      </c>
      <c r="C50" s="167" t="str">
        <f>OUTROS_BENEFICIOS_1_DESCRICAO</f>
        <v>Outros Benefícios 1 (Auxilio creche - 20% x 526,64)</v>
      </c>
      <c r="D50" s="136"/>
      <c r="E50" s="137"/>
      <c r="F50" s="51">
        <f>OUTROS_BENEFICIOS_1</f>
        <v>105.328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6.5" customHeight="1" x14ac:dyDescent="0.3">
      <c r="A51" s="19"/>
      <c r="B51" s="74" t="s">
        <v>18</v>
      </c>
      <c r="C51" s="145" t="str">
        <f>OUTROS_BENEFICIOS_2_DESCRICAO</f>
        <v>Outros Benefícios 2 (Especificar)</v>
      </c>
      <c r="D51" s="136"/>
      <c r="E51" s="137"/>
      <c r="F51" s="50">
        <f>OUTROS_BENEFICIOS_2</f>
        <v>0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6.5" customHeight="1" x14ac:dyDescent="0.3">
      <c r="A52" s="19"/>
      <c r="B52" s="74" t="s">
        <v>16</v>
      </c>
      <c r="C52" s="167" t="str">
        <f>OUTROS_BENEFICIOS_3_DESCRICAO</f>
        <v>Outros Benefícios 3 (Especificar)</v>
      </c>
      <c r="D52" s="136"/>
      <c r="E52" s="137"/>
      <c r="F52" s="51">
        <f>OUTROS_BENEFICIOS_3</f>
        <v>0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5" customHeight="1" x14ac:dyDescent="0.3">
      <c r="A53" s="19"/>
      <c r="B53" s="143" t="s">
        <v>6</v>
      </c>
      <c r="C53" s="136"/>
      <c r="D53" s="136"/>
      <c r="E53" s="137"/>
      <c r="F53" s="73">
        <f>SUM(F48:F52)</f>
        <v>924.32799999999997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6.5" customHeight="1" x14ac:dyDescent="0.3">
      <c r="A54" s="19"/>
      <c r="B54" s="32" t="s">
        <v>36</v>
      </c>
      <c r="C54" s="31"/>
      <c r="D54" s="30"/>
      <c r="E54" s="29"/>
      <c r="F54" s="2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5" customHeight="1" x14ac:dyDescent="0.3">
      <c r="A55" s="19"/>
      <c r="B55" s="28">
        <v>3</v>
      </c>
      <c r="C55" s="138" t="s">
        <v>35</v>
      </c>
      <c r="D55" s="137"/>
      <c r="E55" s="23" t="s">
        <v>41</v>
      </c>
      <c r="F55" s="23" t="s">
        <v>125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6.5" customHeight="1" x14ac:dyDescent="0.3">
      <c r="A56" s="19"/>
      <c r="B56" s="28" t="s">
        <v>24</v>
      </c>
      <c r="C56" s="148" t="s">
        <v>84</v>
      </c>
      <c r="D56" s="137"/>
      <c r="E56" s="44">
        <f>PERC_AVISO_PREVIO_IND</f>
        <v>0.29105124999999998</v>
      </c>
      <c r="F56" s="51">
        <f>PERC_AVISO_PREVIO_IND%*(GERENTE!MOD_1_REMUNERACAO_44H+SUBMOD_2_1_DEC_TERC_ADIC_FERIAS_44H)</f>
        <v>33.520404801527775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6.5" customHeight="1" x14ac:dyDescent="0.3">
      <c r="A57" s="19"/>
      <c r="B57" s="23" t="s">
        <v>22</v>
      </c>
      <c r="C57" s="142" t="s">
        <v>82</v>
      </c>
      <c r="D57" s="137"/>
      <c r="E57" s="43">
        <f>INCID_FGTS_SOBRE_API</f>
        <v>2.3284099999999999E-2</v>
      </c>
      <c r="F57" s="50">
        <f>INCID_FGTS_SOBRE_API%*(GERENTE!MOD_1_REMUNERACAO_44H+SUBMOD_2_1_DEC_TERC_ADIC_FERIAS_44H)</f>
        <v>2.681632384122222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6.5" customHeight="1" x14ac:dyDescent="0.25">
      <c r="A58" s="24"/>
      <c r="B58" s="23" t="s">
        <v>20</v>
      </c>
      <c r="C58" s="148" t="s">
        <v>80</v>
      </c>
      <c r="D58" s="137"/>
      <c r="E58" s="44">
        <f>PERC_MULTA_FGTS_AV_PREV_IND</f>
        <v>0.11176368</v>
      </c>
      <c r="F58" s="51">
        <f>PERC_MULTA_FGTS_AV_PREV_IND%*(GERENTE!MOD_1_REMUNERACAO_44H+SUBMOD_2_1_DEC_TERC_ADIC_FERIAS_44H)</f>
        <v>12.871835443786667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6.5" customHeight="1" x14ac:dyDescent="0.25">
      <c r="A59" s="24"/>
      <c r="B59" s="23" t="s">
        <v>18</v>
      </c>
      <c r="C59" s="142" t="s">
        <v>78</v>
      </c>
      <c r="D59" s="137"/>
      <c r="E59" s="43">
        <f>PERC_AVISO_PREVIO_TRAB</f>
        <v>1.1557269305555555</v>
      </c>
      <c r="F59" s="50">
        <f>PERC_AVISO_PREVIO_TRAB%*(GERENTE!MOD_1_REMUNERACAO_44H+SUBMOD_2_1_DEC_TERC_ADIC_FERIAS_44H)</f>
        <v>133.10519900618672</v>
      </c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6.5" customHeight="1" x14ac:dyDescent="0.25">
      <c r="A60" s="24"/>
      <c r="B60" s="23" t="s">
        <v>16</v>
      </c>
      <c r="C60" s="148" t="s">
        <v>76</v>
      </c>
      <c r="D60" s="137"/>
      <c r="E60" s="44">
        <f>INCID_SUBMOD_2_2_APT</f>
        <v>0.45997931836111106</v>
      </c>
      <c r="F60" s="51">
        <f>INCID_SUBMOD_2_2_APT%*(GERENTE!MOD_1_REMUNERACAO_44H+SUBMOD_2_1_DEC_TERC_ADIC_FERIAS_44H)</f>
        <v>52.975869204462306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6.5" customHeight="1" x14ac:dyDescent="0.25">
      <c r="A61" s="24"/>
      <c r="B61" s="23" t="s">
        <v>14</v>
      </c>
      <c r="C61" s="142" t="s">
        <v>74</v>
      </c>
      <c r="D61" s="137"/>
      <c r="E61" s="43">
        <f>PERC_MULTA_FGTS_AV_PREV_TRAB</f>
        <v>1.9019963200000001</v>
      </c>
      <c r="F61" s="50">
        <f>PERC_MULTA_FGTS_AV_PREV_TRAB%*(GERENTE!MOD_1_REMUNERACAO_44H+SUBMOD_2_1_DEC_TERC_ADIC_FERIAS_44H)</f>
        <v>219.05312750732443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6.5" customHeight="1" x14ac:dyDescent="0.3">
      <c r="A62" s="24"/>
      <c r="B62" s="138" t="s">
        <v>6</v>
      </c>
      <c r="C62" s="136"/>
      <c r="D62" s="136"/>
      <c r="E62" s="137"/>
      <c r="F62" s="71">
        <f>SUM(F56:F61)</f>
        <v>454.20806834741012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7.5" customHeight="1" x14ac:dyDescent="0.3">
      <c r="A63" s="14"/>
      <c r="B63" s="64"/>
      <c r="C63" s="14"/>
      <c r="D63" s="63"/>
      <c r="E63" s="40"/>
      <c r="F63" s="40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3">
      <c r="A64" s="24"/>
      <c r="B64" s="32" t="s">
        <v>29</v>
      </c>
      <c r="C64" s="31"/>
      <c r="D64" s="30"/>
      <c r="E64" s="14"/>
      <c r="F64" s="1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">
      <c r="A65" s="24"/>
      <c r="B65" s="32" t="s">
        <v>28</v>
      </c>
      <c r="C65" s="31"/>
      <c r="D65" s="30"/>
      <c r="E65" s="29"/>
      <c r="F65" s="29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6.5" customHeight="1" x14ac:dyDescent="0.25">
      <c r="A66" s="24"/>
      <c r="B66" s="28" t="s">
        <v>27</v>
      </c>
      <c r="C66" s="143" t="s">
        <v>26</v>
      </c>
      <c r="D66" s="137"/>
      <c r="E66" s="23" t="s">
        <v>41</v>
      </c>
      <c r="F66" s="23" t="s">
        <v>125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25">
      <c r="A67" s="24"/>
      <c r="B67" s="23" t="s">
        <v>24</v>
      </c>
      <c r="C67" s="139" t="s">
        <v>71</v>
      </c>
      <c r="D67" s="137"/>
      <c r="E67" s="44">
        <f>PERC_SUBSTITUTO_FERIAS</f>
        <v>8.3333333333333321</v>
      </c>
      <c r="F67" s="51">
        <f>PERC_SUBSTITUTO_FERIAS%*(GERENTE!MOD_1_REMUNERACAO_44H+GERENTE!MOD_2_ENCARGOS_BENEFICIOS_44H)</f>
        <v>1418.7591277777774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25">
      <c r="A68" s="24"/>
      <c r="B68" s="23" t="s">
        <v>22</v>
      </c>
      <c r="C68" s="135" t="s">
        <v>69</v>
      </c>
      <c r="D68" s="137"/>
      <c r="E68" s="43">
        <f>PERC_SUBSTITUTO_AUSENCIAS_LEGAIS</f>
        <v>2.2222222222222223</v>
      </c>
      <c r="F68" s="50">
        <f>PERC_SUBSTITUTO_AUSENCIAS_LEGAIS%*(GERENTE!MOD_1_REMUNERACAO_44H+GERENTE!MOD_2_ENCARGOS_BENEFICIOS_44H)</f>
        <v>378.33576740740739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25">
      <c r="A69" s="24"/>
      <c r="B69" s="23" t="s">
        <v>20</v>
      </c>
      <c r="C69" s="139" t="s">
        <v>67</v>
      </c>
      <c r="D69" s="137"/>
      <c r="E69" s="44">
        <f>PERC_SUBSTITUTO_LICENCA_PATERNIDADE</f>
        <v>1.7051833333333329E-2</v>
      </c>
      <c r="F69" s="51">
        <f>PERC_SUBSTITUTO_LICENCA_PATERNIDADE%*(GERENTE!MOD_1_REMUNERACAO_44H+GERENTE!MOD_2_ENCARGOS_BENEFICIOS_44H)</f>
        <v>2.9030933024414431</v>
      </c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6.5" customHeight="1" x14ac:dyDescent="0.25">
      <c r="A70" s="24"/>
      <c r="B70" s="23" t="s">
        <v>18</v>
      </c>
      <c r="C70" s="135" t="s">
        <v>65</v>
      </c>
      <c r="D70" s="137"/>
      <c r="E70" s="43">
        <f>PERC_SUBSTITUTO_ACID_TRAB</f>
        <v>1.85302229372558E-2</v>
      </c>
      <c r="F70" s="50">
        <f>PERC_SUBSTITUTO_ACID_TRAB%*(GERENTE!MOD_1_REMUNERACAO_44H+GERENTE!MOD_2_ENCARGOS_BENEFICIOS_44H)</f>
        <v>3.1547907518386569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6.5" customHeight="1" x14ac:dyDescent="0.25">
      <c r="A71" s="24"/>
      <c r="B71" s="23" t="s">
        <v>16</v>
      </c>
      <c r="C71" s="139" t="s">
        <v>63</v>
      </c>
      <c r="D71" s="137"/>
      <c r="E71" s="44">
        <f>PERC_SUBSTITUTO_AFAST_MATERN</f>
        <v>2.5507554666666658E-2</v>
      </c>
      <c r="F71" s="51">
        <f>PERC_SUBSTITUTO_AFAST_MATERN%*(GERENTE!MOD_1_REMUNERACAO_44H+GERENTE!MOD_2_ENCARGOS_BENEFICIOS_44H)</f>
        <v>4.3426891212748764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6.5" customHeight="1" x14ac:dyDescent="0.25">
      <c r="A72" s="24"/>
      <c r="B72" s="23" t="s">
        <v>14</v>
      </c>
      <c r="C72" s="147" t="str">
        <f>OUTRAS_AUSENCIAS_DESCRICAO</f>
        <v>Outras Ausências (Especificar em %)</v>
      </c>
      <c r="D72" s="137"/>
      <c r="E72" s="72">
        <f>PERC_SUBSTITUTO_OUTRAS_AUSENCIAS</f>
        <v>0</v>
      </c>
      <c r="F72" s="50">
        <f>PERC_SUBSTITUTO_OUTRAS_AUSENCIAS%*(GERENTE!MOD_1_REMUNERACAO_44H+GERENTE!MOD_2_ENCARGOS_BENEFICIOS_44H)</f>
        <v>0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6.5" customHeight="1" x14ac:dyDescent="0.3">
      <c r="A73" s="24"/>
      <c r="B73" s="138" t="s">
        <v>6</v>
      </c>
      <c r="C73" s="136"/>
      <c r="D73" s="136"/>
      <c r="E73" s="137"/>
      <c r="F73" s="71">
        <f>SUM(F67:F72)</f>
        <v>1807.4954683607396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7.5" customHeight="1" x14ac:dyDescent="0.3">
      <c r="A74" s="14"/>
      <c r="B74" s="64"/>
      <c r="C74" s="14"/>
      <c r="D74" s="63"/>
      <c r="E74" s="40"/>
      <c r="F74" s="40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6.5" customHeight="1" x14ac:dyDescent="0.3">
      <c r="A75" s="14"/>
      <c r="B75" s="32" t="s">
        <v>130</v>
      </c>
      <c r="C75" s="31"/>
      <c r="D75" s="31"/>
      <c r="E75" s="29"/>
      <c r="F75" s="29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3">
      <c r="A76" s="14"/>
      <c r="B76" s="70">
        <v>5</v>
      </c>
      <c r="C76" s="163" t="s">
        <v>109</v>
      </c>
      <c r="D76" s="164"/>
      <c r="E76" s="165"/>
      <c r="F76" s="69" t="s">
        <v>125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6.5" customHeight="1" x14ac:dyDescent="0.3">
      <c r="A77" s="14"/>
      <c r="B77" s="67" t="s">
        <v>24</v>
      </c>
      <c r="C77" s="166" t="s">
        <v>129</v>
      </c>
      <c r="D77" s="164"/>
      <c r="E77" s="165"/>
      <c r="F77" s="68">
        <f>UNIFORMES</f>
        <v>0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6.5" customHeight="1" x14ac:dyDescent="0.3">
      <c r="A78" s="14"/>
      <c r="B78" s="67" t="s">
        <v>22</v>
      </c>
      <c r="C78" s="181" t="s">
        <v>128</v>
      </c>
      <c r="D78" s="164"/>
      <c r="E78" s="165"/>
      <c r="F78" s="66">
        <f>MATERIAIS</f>
        <v>0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6.5" customHeight="1" x14ac:dyDescent="0.3">
      <c r="A79" s="14"/>
      <c r="B79" s="67" t="s">
        <v>20</v>
      </c>
      <c r="C79" s="166" t="s">
        <v>127</v>
      </c>
      <c r="D79" s="164"/>
      <c r="E79" s="165"/>
      <c r="F79" s="68">
        <f>EQUIPAMENTOS</f>
        <v>0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6.5" customHeight="1" x14ac:dyDescent="0.3">
      <c r="A80" s="14"/>
      <c r="B80" s="67" t="s">
        <v>18</v>
      </c>
      <c r="C80" s="183" t="str">
        <f>OUTROS_INSUMOS_DESCRICAO</f>
        <v>EPI</v>
      </c>
      <c r="D80" s="164"/>
      <c r="E80" s="165"/>
      <c r="F80" s="66">
        <f>OUTROS_INSUMOS</f>
        <v>0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6.5" customHeight="1" x14ac:dyDescent="0.3">
      <c r="A81" s="14"/>
      <c r="B81" s="163" t="s">
        <v>6</v>
      </c>
      <c r="C81" s="164"/>
      <c r="D81" s="164"/>
      <c r="E81" s="165"/>
      <c r="F81" s="65">
        <f>SUM(F77:F80)</f>
        <v>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7.5" customHeight="1" x14ac:dyDescent="0.3">
      <c r="A82" s="14"/>
      <c r="B82" s="64"/>
      <c r="C82" s="14"/>
      <c r="D82" s="63"/>
      <c r="E82" s="40"/>
      <c r="F82" s="40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" customHeight="1" x14ac:dyDescent="0.3">
      <c r="A83" s="14"/>
      <c r="B83" s="182" t="s">
        <v>126</v>
      </c>
      <c r="C83" s="141"/>
      <c r="D83" s="141"/>
      <c r="E83" s="141"/>
      <c r="F83" s="141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6.5" customHeight="1" x14ac:dyDescent="0.3">
      <c r="A84" s="14"/>
      <c r="B84" s="28">
        <v>6</v>
      </c>
      <c r="C84" s="138" t="s">
        <v>108</v>
      </c>
      <c r="D84" s="137"/>
      <c r="E84" s="23" t="s">
        <v>41</v>
      </c>
      <c r="F84" s="23" t="s">
        <v>125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6.5" customHeight="1" x14ac:dyDescent="0.3">
      <c r="A85" s="14"/>
      <c r="B85" s="28" t="s">
        <v>24</v>
      </c>
      <c r="C85" s="139" t="s">
        <v>124</v>
      </c>
      <c r="D85" s="137"/>
      <c r="E85" s="61">
        <f>PERC_CUSTOS_INDIRETOS</f>
        <v>4.7300000000000004</v>
      </c>
      <c r="F85" s="51">
        <f>PERC_CUSTOS_INDIRETOS%*(GERENTE!MOD_1_REMUNERACAO_44H+GERENTE!MOD_2_ENCARGOS_BENEFICIOS_44H+GERENTE!MOD_3_PROVISAO_RESCISAO_44H+GERENTE!MOD_4_CUSTO_REPOSICAO_44H+GERENTE!MOD_5_INSUMOS_44H)</f>
        <v>912.26625821296204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3">
      <c r="A86" s="14"/>
      <c r="B86" s="23" t="s">
        <v>22</v>
      </c>
      <c r="C86" s="135" t="s">
        <v>123</v>
      </c>
      <c r="D86" s="137"/>
      <c r="E86" s="62">
        <f>PERC_LUCRO</f>
        <v>5.57</v>
      </c>
      <c r="F86" s="50">
        <f>PERC_LUCRO%*(GERENTE!MOD_1_REMUNERACAO_44H+GERENTE!MOD_2_ENCARGOS_BENEFICIOS_44H+GERENTE!MOD_3_PROVISAO_RESCISAO_44H+GERENTE!MOD_4_CUSTO_REPOSICAO_44H+GERENTE!MOD_5_INSUMOS_44H+GERENTE!AL_6_A_CUSTOS_INDIRETOS_44H)</f>
        <v>1125.0887185837726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6.5" customHeight="1" x14ac:dyDescent="0.3">
      <c r="A87" s="14"/>
      <c r="B87" s="23" t="s">
        <v>20</v>
      </c>
      <c r="C87" s="139" t="s">
        <v>122</v>
      </c>
      <c r="D87" s="137"/>
      <c r="E87" s="61">
        <f>SUM(E88:E90)</f>
        <v>8.65</v>
      </c>
      <c r="F87" s="51">
        <f>SUM(F88:F90)</f>
        <v>2019.2014625632246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3">
      <c r="A88" s="14"/>
      <c r="B88" s="58" t="s">
        <v>121</v>
      </c>
      <c r="C88" s="194" t="s">
        <v>120</v>
      </c>
      <c r="D88" s="137"/>
      <c r="E88" s="57">
        <f>PERC_PIS</f>
        <v>0.65</v>
      </c>
      <c r="F88" s="56">
        <f>((GERENTE!MOD_1_REMUNERACAO_44H+GERENTE!MOD_2_ENCARGOS_BENEFICIOS_44H+GERENTE!MOD_3_PROVISAO_RESCISAO_44H+GERENTE!MOD_4_CUSTO_REPOSICAO_44H+GERENTE!MOD_5_INSUMOS_44H+GERENTE!AL_6_A_CUSTOS_INDIRETOS_44H+GERENTE!AL_6_B_LUCRO_44H)*PERC_PIS%)/(1-GERENTE!PERC_TRIBUTOS%)</f>
        <v>151.73190181110937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6.5" customHeight="1" x14ac:dyDescent="0.3">
      <c r="A89" s="14"/>
      <c r="B89" s="58" t="s">
        <v>119</v>
      </c>
      <c r="C89" s="195" t="s">
        <v>118</v>
      </c>
      <c r="D89" s="137"/>
      <c r="E89" s="60">
        <f>PERC_COFINS</f>
        <v>3</v>
      </c>
      <c r="F89" s="59">
        <f>((GERENTE!MOD_1_REMUNERACAO_44H+GERENTE!MOD_2_ENCARGOS_BENEFICIOS_44H+GERENTE!MOD_3_PROVISAO_RESCISAO_44H+GERENTE!MOD_4_CUSTO_REPOSICAO_44H+GERENTE!MOD_5_INSUMOS_44H+GERENTE!AL_6_A_CUSTOS_INDIRETOS_44H+GERENTE!AL_6_B_LUCRO_44H)*PERC_COFINS%)/(1-GERENTE!PERC_TRIBUTOS%)</f>
        <v>700.30108528204312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6.5" customHeight="1" x14ac:dyDescent="0.3">
      <c r="A90" s="52"/>
      <c r="B90" s="58" t="s">
        <v>117</v>
      </c>
      <c r="C90" s="194" t="s">
        <v>116</v>
      </c>
      <c r="D90" s="137"/>
      <c r="E90" s="57">
        <f>PERC_ISS</f>
        <v>5</v>
      </c>
      <c r="F90" s="56">
        <f>((GERENTE!MOD_1_REMUNERACAO_44H+GERENTE!MOD_2_ENCARGOS_BENEFICIOS_44H+GERENTE!MOD_3_PROVISAO_RESCISAO_44H+GERENTE!MOD_4_CUSTO_REPOSICAO_44H+GERENTE!MOD_5_INSUMOS_44H+GERENTE!AL_6_A_CUSTOS_INDIRETOS_44H+GERENTE!AL_6_B_LUCRO_44H)*PERC_ISS%)/(1-GERENTE!PERC_TRIBUTOS%)</f>
        <v>1167.1684754700721</v>
      </c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6.5" customHeight="1" x14ac:dyDescent="0.3">
      <c r="A91" s="52"/>
      <c r="B91" s="138" t="s">
        <v>6</v>
      </c>
      <c r="C91" s="136"/>
      <c r="D91" s="136"/>
      <c r="E91" s="137"/>
      <c r="F91" s="48">
        <f>GERENTE!AL_6_A_CUSTOS_INDIRETOS_44H+GERENTE!AL_6_B_LUCRO_44H+GERENTE!AL_6_C_TRIBUTOS_44H</f>
        <v>4056.5564393599593</v>
      </c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6.5" customHeight="1" x14ac:dyDescent="0.3">
      <c r="A92" s="52"/>
      <c r="B92" s="55" t="s">
        <v>115</v>
      </c>
      <c r="C92" s="15"/>
      <c r="D92" s="15"/>
      <c r="E92" s="15"/>
      <c r="F92" s="54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6.5" customHeight="1" x14ac:dyDescent="0.3">
      <c r="A93" s="53"/>
      <c r="B93" s="23" t="s">
        <v>114</v>
      </c>
      <c r="C93" s="143" t="s">
        <v>113</v>
      </c>
      <c r="D93" s="136"/>
      <c r="E93" s="137"/>
      <c r="F93" s="23" t="s">
        <v>112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6.5" customHeight="1" x14ac:dyDescent="0.3">
      <c r="A94" s="52"/>
      <c r="B94" s="28">
        <v>1</v>
      </c>
      <c r="C94" s="139" t="s">
        <v>58</v>
      </c>
      <c r="D94" s="136"/>
      <c r="E94" s="137"/>
      <c r="F94" s="51">
        <f>GERENTE!MOD_1_REMUNERACAO_44H</f>
        <v>10365.31</v>
      </c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6.5" customHeight="1" x14ac:dyDescent="0.3">
      <c r="A95" s="49"/>
      <c r="B95" s="23">
        <v>2</v>
      </c>
      <c r="C95" s="135" t="s">
        <v>111</v>
      </c>
      <c r="D95" s="136"/>
      <c r="E95" s="137"/>
      <c r="F95" s="50">
        <f>GERENTE!MOD_2_ENCARGOS_BENEFICIOS_44H</f>
        <v>6659.7995333333329</v>
      </c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6.5" customHeight="1" x14ac:dyDescent="0.3">
      <c r="A96" s="49"/>
      <c r="B96" s="23">
        <v>3</v>
      </c>
      <c r="C96" s="139" t="s">
        <v>35</v>
      </c>
      <c r="D96" s="136"/>
      <c r="E96" s="137"/>
      <c r="F96" s="51">
        <f>GERENTE!MOD_3_PROVISAO_RESCISAO_44H</f>
        <v>454.20806834741012</v>
      </c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6.5" customHeight="1" x14ac:dyDescent="0.3">
      <c r="A97" s="49"/>
      <c r="B97" s="23">
        <v>4</v>
      </c>
      <c r="C97" s="135" t="s">
        <v>110</v>
      </c>
      <c r="D97" s="136"/>
      <c r="E97" s="137"/>
      <c r="F97" s="50">
        <f>GERENTE!MOD_4_CUSTO_REPOSICAO_44H</f>
        <v>1807.4954683607396</v>
      </c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6.5" customHeight="1" x14ac:dyDescent="0.3">
      <c r="A98" s="49"/>
      <c r="B98" s="23">
        <v>5</v>
      </c>
      <c r="C98" s="139" t="s">
        <v>109</v>
      </c>
      <c r="D98" s="136"/>
      <c r="E98" s="137"/>
      <c r="F98" s="51">
        <f>GERENTE!MOD_5_INSUMOS_44H</f>
        <v>0</v>
      </c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6.5" customHeight="1" x14ac:dyDescent="0.3">
      <c r="A99" s="49"/>
      <c r="B99" s="23">
        <v>6</v>
      </c>
      <c r="C99" s="135" t="s">
        <v>108</v>
      </c>
      <c r="D99" s="136"/>
      <c r="E99" s="137"/>
      <c r="F99" s="50">
        <f>GERENTE!MOD_6_CUSTOS_IND_LUCRO_TRIB_44H</f>
        <v>4056.5564393599593</v>
      </c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6.5" customHeight="1" x14ac:dyDescent="0.3">
      <c r="A100" s="14"/>
      <c r="B100" s="143" t="s">
        <v>107</v>
      </c>
      <c r="C100" s="136"/>
      <c r="D100" s="136"/>
      <c r="E100" s="137"/>
      <c r="F100" s="48">
        <f>SUM(F94:F99)</f>
        <v>23343.36950940144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6.5" customHeight="1" x14ac:dyDescent="0.3">
      <c r="A101" s="14"/>
      <c r="B101" s="143" t="s">
        <v>106</v>
      </c>
      <c r="C101" s="136"/>
      <c r="D101" s="136"/>
      <c r="E101" s="137"/>
      <c r="F101" s="48">
        <f>VALOR_TOTAL_EMPREGADO_44H*'INSERÇÃO-DE-DADOS'!E19</f>
        <v>23343.36950940144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6.5" customHeight="1" x14ac:dyDescent="0.3">
      <c r="A102" s="14"/>
      <c r="B102" s="143" t="s">
        <v>105</v>
      </c>
      <c r="C102" s="136"/>
      <c r="D102" s="136"/>
      <c r="E102" s="137"/>
      <c r="F102" s="48">
        <f>VALOR_TOTAL_POSTO_44H</f>
        <v>23343.36950940144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6.5" customHeight="1" x14ac:dyDescent="0.3">
      <c r="A103" s="14"/>
      <c r="B103" s="14"/>
      <c r="C103" s="14"/>
      <c r="D103" s="14"/>
      <c r="E103" s="14"/>
      <c r="F103" s="14"/>
      <c r="G103" s="14"/>
      <c r="H103" s="126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6.5" customHeight="1" x14ac:dyDescent="0.3">
      <c r="A104" s="14"/>
      <c r="B104" s="14" t="s">
        <v>61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6.5" customHeight="1" x14ac:dyDescent="0.3">
      <c r="A105" s="14"/>
      <c r="B105" s="14"/>
      <c r="C105" s="14"/>
      <c r="D105" s="14"/>
      <c r="E105" s="14"/>
      <c r="F105" s="14"/>
      <c r="G105" s="14"/>
      <c r="H105" s="126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6.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6.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6.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6.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6.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6.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6.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6.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6.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6.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6.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6.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6.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6.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6.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6.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6.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6.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6.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6.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6.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6.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6.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6.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6.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6.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6.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6.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6.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6.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6.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6.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6.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6.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6.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6.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6.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6.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6.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6.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6.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6.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6.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6.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6.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6.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6.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6.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6.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6.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6.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6.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6.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6.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6.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6.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6.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6.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6.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6.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6.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6.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6.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6.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6.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6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6.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6.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6.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6.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6.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6.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6.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6.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6.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6.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6.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6.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6.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6.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6.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6.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6.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6.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6.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6.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6.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6.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6.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6.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6.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6.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6.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6.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6.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6.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6.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6.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6.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6.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6.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6.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6.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6.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6.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6.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6.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6.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6.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6.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6.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6.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6.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6.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6.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6.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6.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6.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6.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6.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6.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6.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6.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6.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6.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6.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6.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6.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6.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6.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6.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6.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6.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6.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6.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6.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6.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6.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6.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6.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6.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6.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6.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6.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6.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6.5" customHeight="1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6.5" customHeight="1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6.5" customHeight="1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6.5" customHeight="1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6.5" customHeight="1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6.5" customHeight="1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6.5" customHeight="1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6.5" customHeight="1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6.5" customHeight="1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6.5" customHeight="1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6.5" customHeight="1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6.5" customHeight="1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6.5" customHeight="1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6.5" customHeight="1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6.5" customHeight="1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6.5" customHeight="1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6.5" customHeight="1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6.5" customHeight="1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6.5" customHeight="1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6.5" customHeight="1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6.5" customHeight="1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6.5" customHeight="1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6.5" customHeight="1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6.5" customHeight="1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6.5" customHeight="1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6.5" customHeight="1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6.5" customHeight="1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6.5" customHeight="1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6.5" customHeight="1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6.5" customHeight="1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6.5" customHeight="1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6.5" customHeight="1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6.5" customHeight="1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6.5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6.5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6.5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6.5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6.5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6.5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6.5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6.5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6.5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6.5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6.5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6.5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6.5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6.5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6.5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6.5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6.5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6.5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6.5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6.5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6.5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6.5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6.5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6.5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6.5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6.5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6.5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6.5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6.5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6.5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6.5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6.5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6.5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6.5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6.5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6.5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6.5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6.5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6.5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6.5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6.5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6.5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6.5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6.5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6.5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6.5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6.5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6.5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6.5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6.5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6.5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6.5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6.5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6.5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6.5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6.5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6.5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6.5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6.5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6.5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6.5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6.5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6.5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6.5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6.5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6.5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6.5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6.5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6.5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6.5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6.5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6.5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6.5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6.5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6.5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6.5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6.5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6.5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6.5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6.5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6.5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6.5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6.5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6.5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6.5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6.5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6.5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6.5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6.5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6.5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6.5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6.5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6.5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6.5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6.5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6.5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6.5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6.5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6.5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6.5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6.5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6.5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6.5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6.5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6.5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6.5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6.5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6.5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6.5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6.5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6.5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6.5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6.5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6.5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6.5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6.5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6.5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6.5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6.5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6.5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6.5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6.5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6.5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6.5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6.5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6.5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6.5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6.5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6.5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6.5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6.5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6.5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6.5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6.5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6.5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6.5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6.5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6.5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6.5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6.5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6.5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6.5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6.5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6.5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6.5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6.5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6.5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6.5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6.5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6.5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6.5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6.5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6.5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6.5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6.5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6.5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6.5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6.5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6.5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6.5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6.5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6.5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6.5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6.5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6.5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6.5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6.5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6.5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6.5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6.5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6.5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6.5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6.5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6.5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6.5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6.5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6.5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6.5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6.5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6.5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6.5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6.5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6.5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6.5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6.5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6.5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6.5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6.5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6.5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6.5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6.5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6.5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6.5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6.5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6.5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6.5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6.5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6.5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6.5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6.5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6.5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6.5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6.5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6.5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6.5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6.5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6.5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6.5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6.5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6.5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6.5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6.5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6.5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6.5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6.5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6.5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6.5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6.5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6.5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6.5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6.5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6.5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6.5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6.5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6.5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6.5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6.5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6.5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6.5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6.5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6.5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6.5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6.5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6.5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6.5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6.5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6.5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6.5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6.5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6.5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6.5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6.5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6.5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6.5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6.5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6.5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6.5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6.5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6.5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6.5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6.5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6.5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6.5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6.5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6.5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6.5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6.5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6.5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6.5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6.5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6.5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6.5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6.5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6.5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6.5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6.5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6.5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6.5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6.5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6.5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6.5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6.5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6.5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6.5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6.5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6.5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6.5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6.5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6.5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6.5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6.5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6.5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6.5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6.5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6.5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6.5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6.5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6.5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6.5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6.5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6.5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6.5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6.5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6.5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6.5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6.5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6.5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6.5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6.5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6.5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6.5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6.5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6.5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6.5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6.5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6.5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6.5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6.5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6.5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6.5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6.5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6.5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6.5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6.5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6.5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6.5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6.5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6.5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6.5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6.5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6.5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6.5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6.5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6.5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6.5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6.5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6.5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6.5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6.5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6.5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6.5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6.5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6.5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6.5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6.5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6.5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6.5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6.5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6.5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6.5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6.5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6.5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6.5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6.5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6.5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6.5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6.5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6.5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6.5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6.5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6.5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6.5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6.5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6.5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6.5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6.5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6.5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6.5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6.5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6.5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6.5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6.5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6.5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6.5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6.5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6.5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6.5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6.5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6.5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6.5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6.5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6.5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6.5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6.5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6.5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6.5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6.5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6.5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6.5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6.5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6.5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6.5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6.5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6.5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6.5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6.5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6.5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6.5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6.5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6.5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6.5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6.5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6.5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6.5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6.5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6.5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6.5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6.5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6.5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6.5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6.5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6.5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6.5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6.5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6.5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6.5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6.5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6.5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6.5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6.5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6.5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6.5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6.5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6.5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6.5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6.5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6.5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6.5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6.5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6.5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6.5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6.5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6.5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6.5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6.5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6.5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6.5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6.5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6.5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6.5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6.5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6.5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6.5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6.5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6.5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6.5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6.5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6.5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6.5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6.5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6.5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6.5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6.5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6.5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6.5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6.5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6.5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6.5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6.5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6.5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6.5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6.5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6.5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6.5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6.5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6.5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6.5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6.5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6.5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6.5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6.5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6.5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6.5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6.5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6.5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6.5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6.5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6.5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6.5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6.5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6.5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6.5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6.5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6.5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6.5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6.5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6.5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6.5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6.5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6.5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6.5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6.5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6.5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6.5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6.5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6.5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6.5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6.5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6.5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6.5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6.5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6.5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6.5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6.5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6.5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6.5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6.5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6.5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6.5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6.5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6.5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6.5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6.5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6.5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6.5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6.5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6.5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6.5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6.5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6.5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6.5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6.5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6.5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6.5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6.5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6.5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6.5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6.5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6.5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6.5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6.5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6.5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6.5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6.5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6.5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6.5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6.5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6.5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6.5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6.5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6.5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6.5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6.5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6.5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6.5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6.5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6.5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6.5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6.5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6.5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6.5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6.5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6.5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6.5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6.5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6.5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6.5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6.5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6.5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6.5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6.5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6.5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6.5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6.5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6.5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6.5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6.5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6.5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6.5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6.5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6.5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6.5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6.5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6.5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6.5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6.5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6.5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6.5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6.5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6.5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6.5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6.5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6.5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6.5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6.5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6.5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6.5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6.5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6.5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6.5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6.5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6.5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6.5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6.5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6.5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6.5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6.5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6.5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6.5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6.5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6.5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6.5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6.5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6.5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6.5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6.5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6.5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6.5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6.5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6.5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6.5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6.5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6.5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6.5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6.5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6.5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6.5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6.5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6.5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6.5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6.5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6.5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6.5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6.5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6.5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6.5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6.5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6.5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6.5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6.5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6.5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6.5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6.5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6.5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6.5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6.5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6.5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6.5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6.5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6.5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6.5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6.5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6.5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6.5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6.5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6.5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6.5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6.5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6.5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6.5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6.5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6.5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6.5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6.5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6.5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6.5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6.5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6.5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6.5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6.5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6.5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6.5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6.5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6.5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6.5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6.5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6.5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6.5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6.5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6.5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6.5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6.5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6.5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6.5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6.5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6.5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6.5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6.5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6.5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6.5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6.5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6.5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6.5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6.5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6.5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6.5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6.5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6.5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6.5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6.5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6.5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6.5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6.5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6.5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6.5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6.5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6.5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6.5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6.5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6.5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6.5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6.5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6.5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6.5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6.5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6.5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6.5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6.5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6.5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6.5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6.5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6.5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6.5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6.5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6.5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6.5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6.5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6.5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6.5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6.5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6.5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6.5" customHeight="1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6.5" customHeight="1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6.5" customHeight="1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6.5" customHeight="1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92">
    <mergeCell ref="C44:D44"/>
    <mergeCell ref="B45:E45"/>
    <mergeCell ref="C47:E47"/>
    <mergeCell ref="C48:E48"/>
    <mergeCell ref="C49:E49"/>
    <mergeCell ref="C84:D84"/>
    <mergeCell ref="C85:D85"/>
    <mergeCell ref="C86:D86"/>
    <mergeCell ref="C69:D69"/>
    <mergeCell ref="C70:D70"/>
    <mergeCell ref="C71:D71"/>
    <mergeCell ref="C72:D72"/>
    <mergeCell ref="B73:E73"/>
    <mergeCell ref="B102:E102"/>
    <mergeCell ref="C87:D87"/>
    <mergeCell ref="C88:D88"/>
    <mergeCell ref="C89:D89"/>
    <mergeCell ref="C90:D90"/>
    <mergeCell ref="B91:E91"/>
    <mergeCell ref="C93:E93"/>
    <mergeCell ref="C94:E94"/>
    <mergeCell ref="C97:E97"/>
    <mergeCell ref="C98:E98"/>
    <mergeCell ref="C99:E99"/>
    <mergeCell ref="B100:E100"/>
    <mergeCell ref="B101:E101"/>
    <mergeCell ref="C95:E95"/>
    <mergeCell ref="C96:E96"/>
    <mergeCell ref="B1:F1"/>
    <mergeCell ref="B2:D2"/>
    <mergeCell ref="B3:F3"/>
    <mergeCell ref="B4:F4"/>
    <mergeCell ref="B5:C5"/>
    <mergeCell ref="D15:F15"/>
    <mergeCell ref="D5:F5"/>
    <mergeCell ref="B6:C6"/>
    <mergeCell ref="D6:E6"/>
    <mergeCell ref="B7:F7"/>
    <mergeCell ref="C8:E8"/>
    <mergeCell ref="D9:F9"/>
    <mergeCell ref="C10:E10"/>
    <mergeCell ref="C11:E11"/>
    <mergeCell ref="C12:E12"/>
    <mergeCell ref="C14:D14"/>
    <mergeCell ref="E14:F14"/>
    <mergeCell ref="B28:E28"/>
    <mergeCell ref="D16:F16"/>
    <mergeCell ref="C17:E17"/>
    <mergeCell ref="B18:F18"/>
    <mergeCell ref="B19:E19"/>
    <mergeCell ref="C21:E21"/>
    <mergeCell ref="C22:E22"/>
    <mergeCell ref="C23:E23"/>
    <mergeCell ref="C24:E24"/>
    <mergeCell ref="C25:E25"/>
    <mergeCell ref="C26:E26"/>
    <mergeCell ref="C27:E27"/>
    <mergeCell ref="C42:D42"/>
    <mergeCell ref="C31:D31"/>
    <mergeCell ref="C32:D32"/>
    <mergeCell ref="C33:D33"/>
    <mergeCell ref="B34:E34"/>
    <mergeCell ref="B35:F35"/>
    <mergeCell ref="C36:D36"/>
    <mergeCell ref="C37:D37"/>
    <mergeCell ref="C38:D38"/>
    <mergeCell ref="C39:D39"/>
    <mergeCell ref="C40:D40"/>
    <mergeCell ref="C41:D41"/>
    <mergeCell ref="C43:D43"/>
    <mergeCell ref="C79:E79"/>
    <mergeCell ref="C80:E80"/>
    <mergeCell ref="B81:E81"/>
    <mergeCell ref="B83:F83"/>
    <mergeCell ref="C76:E76"/>
    <mergeCell ref="C77:E77"/>
    <mergeCell ref="C78:E78"/>
    <mergeCell ref="C61:D61"/>
    <mergeCell ref="B62:E62"/>
    <mergeCell ref="C60:D60"/>
    <mergeCell ref="C50:E50"/>
    <mergeCell ref="C51:E51"/>
    <mergeCell ref="C52:E52"/>
    <mergeCell ref="B53:E53"/>
    <mergeCell ref="C55:D55"/>
    <mergeCell ref="C66:D66"/>
    <mergeCell ref="C67:D67"/>
    <mergeCell ref="C68:D68"/>
    <mergeCell ref="C56:D56"/>
    <mergeCell ref="C57:D57"/>
    <mergeCell ref="C58:D58"/>
    <mergeCell ref="C59:D59"/>
  </mergeCells>
  <conditionalFormatting sqref="F49">
    <cfRule type="cellIs" dxfId="4" priority="1" operator="equal">
      <formula>"Insira o % do PAT"</formula>
    </cfRule>
  </conditionalFormatting>
  <printOptions horizontalCentered="1"/>
  <pageMargins left="0.08" right="0.05" top="0.19685039370078741" bottom="0.15748031496062992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3736E-9DD9-4003-B546-E95E31629813}">
  <dimension ref="A1:Z1000"/>
  <sheetViews>
    <sheetView topLeftCell="A82" workbookViewId="0">
      <selection activeCell="F102" sqref="F102"/>
    </sheetView>
  </sheetViews>
  <sheetFormatPr defaultColWidth="12.5703125" defaultRowHeight="15" customHeight="1" x14ac:dyDescent="0.25"/>
  <cols>
    <col min="1" max="1" width="2.7109375" style="13" customWidth="1"/>
    <col min="2" max="2" width="8.85546875" style="13" customWidth="1"/>
    <col min="3" max="3" width="52.5703125" style="13" customWidth="1"/>
    <col min="4" max="4" width="15.7109375" style="13" customWidth="1"/>
    <col min="5" max="5" width="13.5703125" style="13" customWidth="1"/>
    <col min="6" max="6" width="19.42578125" style="13" customWidth="1"/>
    <col min="7" max="26" width="9.140625" style="13" customWidth="1"/>
    <col min="27" max="16384" width="12.5703125" style="13"/>
  </cols>
  <sheetData>
    <row r="1" spans="1:26" ht="16.5" customHeight="1" x14ac:dyDescent="0.35">
      <c r="A1" s="14"/>
      <c r="B1" s="192" t="str">
        <f>RAMO</f>
        <v>RAMO: CONSELHO NACIONAL DO MINISTÉRIO PÚBLICO</v>
      </c>
      <c r="C1" s="136"/>
      <c r="D1" s="136"/>
      <c r="E1" s="136"/>
      <c r="F1" s="137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6.5" customHeight="1" x14ac:dyDescent="0.35">
      <c r="A2" s="14"/>
      <c r="B2" s="193" t="str">
        <f>UG</f>
        <v>UNIDADE GESTORA (SIGLA): CNMP</v>
      </c>
      <c r="C2" s="136"/>
      <c r="D2" s="137"/>
      <c r="E2" s="90" t="s">
        <v>153</v>
      </c>
      <c r="F2" s="89">
        <f>DATA_DO_ORCAMENTO_ESTIMATIVO</f>
        <v>46149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5.5" x14ac:dyDescent="0.5">
      <c r="A3" s="24"/>
      <c r="B3" s="179" t="s">
        <v>152</v>
      </c>
      <c r="C3" s="141"/>
      <c r="D3" s="141"/>
      <c r="E3" s="141"/>
      <c r="F3" s="14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 x14ac:dyDescent="0.3">
      <c r="A4" s="24"/>
      <c r="B4" s="172" t="s">
        <v>151</v>
      </c>
      <c r="C4" s="173"/>
      <c r="D4" s="173"/>
      <c r="E4" s="173"/>
      <c r="F4" s="17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3">
      <c r="A5" s="24"/>
      <c r="B5" s="144" t="s">
        <v>150</v>
      </c>
      <c r="C5" s="137"/>
      <c r="D5" s="185" t="str">
        <f>NUMERO_PROCESSO</f>
        <v>19.00.6300.0004747/2025-48</v>
      </c>
      <c r="E5" s="136"/>
      <c r="F5" s="13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3">
      <c r="A6" s="24"/>
      <c r="B6" s="146" t="s">
        <v>149</v>
      </c>
      <c r="C6" s="137"/>
      <c r="D6" s="188" t="str">
        <f>MODALIDADE_DE_LICITACAO</f>
        <v>Pregão nº</v>
      </c>
      <c r="E6" s="137"/>
      <c r="F6" s="88" t="str">
        <f>NUMERO_PREGAO</f>
        <v>XX/20XX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3">
      <c r="A7" s="24"/>
      <c r="B7" s="189" t="s">
        <v>148</v>
      </c>
      <c r="C7" s="190"/>
      <c r="D7" s="190"/>
      <c r="E7" s="190"/>
      <c r="F7" s="190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8" customHeight="1" x14ac:dyDescent="0.3">
      <c r="A8" s="24"/>
      <c r="B8" s="74" t="s">
        <v>24</v>
      </c>
      <c r="C8" s="144" t="s">
        <v>147</v>
      </c>
      <c r="D8" s="136"/>
      <c r="E8" s="137"/>
      <c r="F8" s="87" t="str">
        <f>DATA_APRESENTACAO_PROPOSTA</f>
        <v>XX/XX/20XX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 x14ac:dyDescent="0.25">
      <c r="A9" s="24"/>
      <c r="B9" s="28" t="s">
        <v>22</v>
      </c>
      <c r="C9" s="45" t="s">
        <v>146</v>
      </c>
      <c r="D9" s="142" t="str">
        <f>IF(LOCAL_DE_EXECUCAO="","",LOCAL_DE_EXECUCAO)</f>
        <v>CNMP</v>
      </c>
      <c r="E9" s="136"/>
      <c r="F9" s="137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8.75" customHeight="1" x14ac:dyDescent="0.3">
      <c r="A10" s="24"/>
      <c r="B10" s="74" t="s">
        <v>20</v>
      </c>
      <c r="C10" s="144" t="s">
        <v>145</v>
      </c>
      <c r="D10" s="136"/>
      <c r="E10" s="137"/>
      <c r="F10" s="86" t="str">
        <f>ACORDO_COLETIVO</f>
        <v>717/2025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3">
      <c r="A11" s="24"/>
      <c r="B11" s="28" t="s">
        <v>18</v>
      </c>
      <c r="C11" s="142" t="s">
        <v>144</v>
      </c>
      <c r="D11" s="136"/>
      <c r="E11" s="137"/>
      <c r="F11" s="35">
        <f>NUMERO_MESES_EXEC_CONTRATUAL</f>
        <v>60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6.5" customHeight="1" x14ac:dyDescent="0.3">
      <c r="A12" s="24"/>
      <c r="B12" s="28" t="s">
        <v>16</v>
      </c>
      <c r="C12" s="148" t="s">
        <v>143</v>
      </c>
      <c r="D12" s="136"/>
      <c r="E12" s="137"/>
      <c r="F12" s="33">
        <f>IF('TEC SUPORTE SENIOR'!QTDE_POSTOS="","",'TEC SUPORTE SENIOR'!QTDE_POSTOS)</f>
        <v>1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" customHeight="1" x14ac:dyDescent="0.25">
      <c r="A13" s="83"/>
      <c r="B13" s="85" t="s">
        <v>142</v>
      </c>
      <c r="C13" s="84"/>
      <c r="D13" s="84"/>
      <c r="E13" s="84"/>
      <c r="F13" s="84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16.5" customHeight="1" x14ac:dyDescent="0.3">
      <c r="A14" s="24"/>
      <c r="B14" s="74">
        <v>1</v>
      </c>
      <c r="C14" s="144" t="s">
        <v>141</v>
      </c>
      <c r="D14" s="137"/>
      <c r="E14" s="158" t="str">
        <f>'INSERÇÃO-DE-DADOS'!C20</f>
        <v>TÉCNICO DE SUPORTE AO USUÁRIO DE TECNOLOGIA DA INFORMAÇÃO SÊNIOR</v>
      </c>
      <c r="F14" s="191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6.5" customHeight="1" x14ac:dyDescent="0.3">
      <c r="A15" s="24"/>
      <c r="B15" s="74">
        <v>2</v>
      </c>
      <c r="C15" s="82" t="s">
        <v>140</v>
      </c>
      <c r="D15" s="187" t="str">
        <f>'INSERÇÃO-DE-DADOS'!F28</f>
        <v>3172-10</v>
      </c>
      <c r="E15" s="136"/>
      <c r="F15" s="137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" customHeight="1" x14ac:dyDescent="0.3">
      <c r="A16" s="24"/>
      <c r="B16" s="74">
        <v>3</v>
      </c>
      <c r="C16" s="81" t="s">
        <v>139</v>
      </c>
      <c r="D16" s="185" t="str">
        <f>IF(CATEGORIA_PROFISSIONAL="","",CATEGORIA_PROFISSIONAL)</f>
        <v/>
      </c>
      <c r="E16" s="136"/>
      <c r="F16" s="137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" customHeight="1" x14ac:dyDescent="0.3">
      <c r="A17" s="24"/>
      <c r="B17" s="74">
        <v>4</v>
      </c>
      <c r="C17" s="146" t="s">
        <v>138</v>
      </c>
      <c r="D17" s="136"/>
      <c r="E17" s="137"/>
      <c r="F17" s="80">
        <f>DATA_BASE_CATEGORIA</f>
        <v>46143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 x14ac:dyDescent="0.3">
      <c r="A18" s="79"/>
      <c r="B18" s="186" t="s">
        <v>137</v>
      </c>
      <c r="C18" s="173"/>
      <c r="D18" s="173"/>
      <c r="E18" s="173"/>
      <c r="F18" s="173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16.5" customHeight="1" x14ac:dyDescent="0.3">
      <c r="A19" s="14"/>
      <c r="B19" s="138" t="s">
        <v>136</v>
      </c>
      <c r="C19" s="136"/>
      <c r="D19" s="136"/>
      <c r="E19" s="137"/>
      <c r="F19" s="78">
        <f>IF(EMPREG_POR_POSTO="","",EMPREG_POR_POSTO)</f>
        <v>1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6.5" customHeight="1" x14ac:dyDescent="0.3">
      <c r="A20" s="14"/>
      <c r="B20" s="32" t="s">
        <v>59</v>
      </c>
      <c r="C20" s="14"/>
      <c r="D20" s="14"/>
      <c r="E20" s="40"/>
      <c r="F20" s="4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6.5" customHeight="1" x14ac:dyDescent="0.3">
      <c r="A21" s="14"/>
      <c r="B21" s="28">
        <v>1</v>
      </c>
      <c r="C21" s="143" t="s">
        <v>58</v>
      </c>
      <c r="D21" s="136"/>
      <c r="E21" s="137"/>
      <c r="F21" s="23" t="s">
        <v>125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6.5" customHeight="1" x14ac:dyDescent="0.3">
      <c r="A22" s="14"/>
      <c r="B22" s="28" t="s">
        <v>24</v>
      </c>
      <c r="C22" s="167" t="s">
        <v>135</v>
      </c>
      <c r="D22" s="136"/>
      <c r="E22" s="137"/>
      <c r="F22" s="77">
        <f>'INSERÇÃO-DE-DADOS'!F40</f>
        <v>3216.87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6.5" customHeight="1" x14ac:dyDescent="0.3">
      <c r="A23" s="14"/>
      <c r="B23" s="28" t="s">
        <v>22</v>
      </c>
      <c r="C23" s="135" t="s">
        <v>134</v>
      </c>
      <c r="D23" s="136"/>
      <c r="E23" s="137"/>
      <c r="F23" s="76">
        <f>PERC_ADIC_PERIC%*SALARIO_BASE</f>
        <v>0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 x14ac:dyDescent="0.3">
      <c r="A24" s="14"/>
      <c r="B24" s="28" t="s">
        <v>20</v>
      </c>
      <c r="C24" s="139" t="s">
        <v>133</v>
      </c>
      <c r="D24" s="136"/>
      <c r="E24" s="137"/>
      <c r="F24" s="77">
        <f>PERC_ADIC_INS%*SAL_MINIMO</f>
        <v>0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6.5" customHeight="1" x14ac:dyDescent="0.3">
      <c r="A25" s="14"/>
      <c r="B25" s="28" t="s">
        <v>18</v>
      </c>
      <c r="C25" s="145" t="str">
        <f>OUTROS_REMUNERACAO_1_DESCRICAO</f>
        <v>Outras Remunerações 1 (Especificar)</v>
      </c>
      <c r="D25" s="136"/>
      <c r="E25" s="137"/>
      <c r="F25" s="76">
        <f>OUTROS_REMUNERACAO_1</f>
        <v>0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6.5" customHeight="1" x14ac:dyDescent="0.3">
      <c r="A26" s="14"/>
      <c r="B26" s="28" t="s">
        <v>16</v>
      </c>
      <c r="C26" s="167" t="str">
        <f>OUTROS_REMUNERACAO_2_DESCRICAO</f>
        <v>Outras Remunerações 2 (Especificar)</v>
      </c>
      <c r="D26" s="136"/>
      <c r="E26" s="137"/>
      <c r="F26" s="77">
        <f>OUTROS_REMUNERACAO_2</f>
        <v>0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6.5" customHeight="1" x14ac:dyDescent="0.3">
      <c r="A27" s="14"/>
      <c r="B27" s="28" t="s">
        <v>14</v>
      </c>
      <c r="C27" s="145" t="str">
        <f>OUTROS_REMUNERACAO_3_DESCRICAO</f>
        <v>Outras Remunerações 3 (Especificar)</v>
      </c>
      <c r="D27" s="136"/>
      <c r="E27" s="137"/>
      <c r="F27" s="76">
        <f>OUTROS_REMUNERACAO_3</f>
        <v>0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6.5" customHeight="1" x14ac:dyDescent="0.3">
      <c r="A28" s="14"/>
      <c r="B28" s="143" t="s">
        <v>6</v>
      </c>
      <c r="C28" s="136"/>
      <c r="D28" s="136"/>
      <c r="E28" s="137"/>
      <c r="F28" s="73">
        <f>SUM(F22:F27)</f>
        <v>3216.87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6.5" customHeight="1" x14ac:dyDescent="0.3">
      <c r="A29" s="14"/>
      <c r="B29" s="32" t="s">
        <v>103</v>
      </c>
      <c r="C29" s="14"/>
      <c r="D29" s="14"/>
      <c r="E29" s="47"/>
      <c r="F29" s="47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6.5" customHeight="1" x14ac:dyDescent="0.3">
      <c r="A30" s="14"/>
      <c r="B30" s="32" t="s">
        <v>102</v>
      </c>
      <c r="C30" s="31"/>
      <c r="D30" s="30"/>
      <c r="E30" s="29"/>
      <c r="F30" s="29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6.5" customHeight="1" x14ac:dyDescent="0.3">
      <c r="A31" s="14"/>
      <c r="B31" s="28" t="s">
        <v>101</v>
      </c>
      <c r="C31" s="138" t="s">
        <v>100</v>
      </c>
      <c r="D31" s="137"/>
      <c r="E31" s="23" t="s">
        <v>41</v>
      </c>
      <c r="F31" s="23" t="s">
        <v>125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6.5" customHeight="1" x14ac:dyDescent="0.3">
      <c r="A32" s="14"/>
      <c r="B32" s="28" t="s">
        <v>24</v>
      </c>
      <c r="C32" s="139" t="s">
        <v>99</v>
      </c>
      <c r="D32" s="137"/>
      <c r="E32" s="44">
        <f>PERC_DEC_TERC</f>
        <v>8.3333333333333321</v>
      </c>
      <c r="F32" s="51">
        <f>PERC_DEC_TERC%*'TEC SUPORTE SENIOR'!MOD_1_REMUNERACAO_44H</f>
        <v>268.07249999999993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6.5" customHeight="1" x14ac:dyDescent="0.3">
      <c r="A33" s="14"/>
      <c r="B33" s="23" t="s">
        <v>22</v>
      </c>
      <c r="C33" s="135" t="s">
        <v>97</v>
      </c>
      <c r="D33" s="137"/>
      <c r="E33" s="42">
        <f>PERC_ADIC_FERIAS</f>
        <v>2.7777777777777777</v>
      </c>
      <c r="F33" s="50">
        <f>PERC_ADIC_FERIAS%*'TEC SUPORTE SENIOR'!MOD_1_REMUNERACAO_44H</f>
        <v>89.357499999999987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6.5" customHeight="1" x14ac:dyDescent="0.3">
      <c r="A34" s="19"/>
      <c r="B34" s="138" t="s">
        <v>6</v>
      </c>
      <c r="C34" s="136"/>
      <c r="D34" s="136"/>
      <c r="E34" s="137"/>
      <c r="F34" s="71">
        <f>SUM(F32:F33)</f>
        <v>357.42999999999995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31.5" customHeight="1" x14ac:dyDescent="0.3">
      <c r="A35" s="19"/>
      <c r="B35" s="184" t="s">
        <v>95</v>
      </c>
      <c r="C35" s="141"/>
      <c r="D35" s="141"/>
      <c r="E35" s="141"/>
      <c r="F35" s="141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34.5" customHeight="1" x14ac:dyDescent="0.3">
      <c r="A36" s="19"/>
      <c r="B36" s="28" t="s">
        <v>94</v>
      </c>
      <c r="C36" s="143" t="s">
        <v>93</v>
      </c>
      <c r="D36" s="137"/>
      <c r="E36" s="23" t="s">
        <v>41</v>
      </c>
      <c r="F36" s="23" t="s">
        <v>125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6.5" customHeight="1" x14ac:dyDescent="0.3">
      <c r="A37" s="14"/>
      <c r="B37" s="28" t="s">
        <v>24</v>
      </c>
      <c r="C37" s="139" t="s">
        <v>92</v>
      </c>
      <c r="D37" s="137"/>
      <c r="E37" s="44">
        <f>PERC_INSS</f>
        <v>20</v>
      </c>
      <c r="F37" s="51">
        <f>PERC_INSS%*('TEC SUPORTE SENIOR'!MOD_1_REMUNERACAO_44H+SUBMOD_2_1_DEC_TERC_ADIC_FERIAS_44H)</f>
        <v>714.86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6.5" customHeight="1" x14ac:dyDescent="0.25">
      <c r="A38" s="24"/>
      <c r="B38" s="23" t="s">
        <v>22</v>
      </c>
      <c r="C38" s="135" t="s">
        <v>91</v>
      </c>
      <c r="D38" s="137"/>
      <c r="E38" s="43">
        <f>PERC_SAL_EDUCACAO</f>
        <v>2.5</v>
      </c>
      <c r="F38" s="50">
        <f>PERC_SAL_EDUCACAO%*('TEC SUPORTE SENIOR'!MOD_1_REMUNERACAO_44H+SUBMOD_2_1_DEC_TERC_ADIC_FERIAS_44H)</f>
        <v>89.357500000000002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6.5" customHeight="1" x14ac:dyDescent="0.25">
      <c r="A39" s="24"/>
      <c r="B39" s="23" t="s">
        <v>20</v>
      </c>
      <c r="C39" s="139" t="s">
        <v>90</v>
      </c>
      <c r="D39" s="137"/>
      <c r="E39" s="44">
        <f>PERC_RAT</f>
        <v>6</v>
      </c>
      <c r="F39" s="51">
        <f>PERC_RAT%*('TEC SUPORTE SENIOR'!MOD_1_REMUNERACAO_44H+SUBMOD_2_1_DEC_TERC_ADIC_FERIAS_44H)</f>
        <v>214.45799999999997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6.5" customHeight="1" x14ac:dyDescent="0.25">
      <c r="A40" s="24"/>
      <c r="B40" s="23" t="s">
        <v>18</v>
      </c>
      <c r="C40" s="135" t="s">
        <v>89</v>
      </c>
      <c r="D40" s="137"/>
      <c r="E40" s="42">
        <f>PERC_SESC</f>
        <v>1.5</v>
      </c>
      <c r="F40" s="50">
        <f>PERC_SESC%*('TEC SUPORTE SENIOR'!MOD_1_REMUNERACAO_44H+SUBMOD_2_1_DEC_TERC_ADIC_FERIAS_44H)</f>
        <v>53.614499999999992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6.5" customHeight="1" x14ac:dyDescent="0.25">
      <c r="A41" s="24"/>
      <c r="B41" s="23" t="s">
        <v>16</v>
      </c>
      <c r="C41" s="139" t="s">
        <v>88</v>
      </c>
      <c r="D41" s="137"/>
      <c r="E41" s="44">
        <f>PERC_SENAC</f>
        <v>1</v>
      </c>
      <c r="F41" s="51">
        <f>PERC_SENAC%*('TEC SUPORTE SENIOR'!MOD_1_REMUNERACAO_44H+SUBMOD_2_1_DEC_TERC_ADIC_FERIAS_44H)</f>
        <v>35.742999999999995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6.5" customHeight="1" x14ac:dyDescent="0.25">
      <c r="A42" s="24"/>
      <c r="B42" s="23" t="s">
        <v>14</v>
      </c>
      <c r="C42" s="135" t="s">
        <v>87</v>
      </c>
      <c r="D42" s="137"/>
      <c r="E42" s="43">
        <f>PERC_SEBRAE</f>
        <v>0.6</v>
      </c>
      <c r="F42" s="50">
        <f>PERC_SEBRAE%*('TEC SUPORTE SENIOR'!MOD_1_REMUNERACAO_44H+SUBMOD_2_1_DEC_TERC_ADIC_FERIAS_44H)</f>
        <v>21.445799999999998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6.5" customHeight="1" x14ac:dyDescent="0.25">
      <c r="A43" s="24"/>
      <c r="B43" s="23" t="s">
        <v>12</v>
      </c>
      <c r="C43" s="139" t="s">
        <v>86</v>
      </c>
      <c r="D43" s="137"/>
      <c r="E43" s="44">
        <f>PERC_INCRA</f>
        <v>0.2</v>
      </c>
      <c r="F43" s="51">
        <f>PERC_INCRA%*('TEC SUPORTE SENIOR'!MOD_1_REMUNERACAO_44H+SUBMOD_2_1_DEC_TERC_ADIC_FERIAS_44H)</f>
        <v>7.1485999999999992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6.5" customHeight="1" x14ac:dyDescent="0.3">
      <c r="A44" s="14"/>
      <c r="B44" s="23" t="s">
        <v>10</v>
      </c>
      <c r="C44" s="135" t="s">
        <v>85</v>
      </c>
      <c r="D44" s="137"/>
      <c r="E44" s="43">
        <f>PERC_FGTS</f>
        <v>8</v>
      </c>
      <c r="F44" s="50">
        <f>PERC_FGTS%*('TEC SUPORTE SENIOR'!MOD_1_REMUNERACAO_44H+SUBMOD_2_1_DEC_TERC_ADIC_FERIAS_44H)</f>
        <v>285.94399999999996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6.5" customHeight="1" x14ac:dyDescent="0.3">
      <c r="A45" s="14"/>
      <c r="B45" s="138" t="s">
        <v>6</v>
      </c>
      <c r="C45" s="136"/>
      <c r="D45" s="136"/>
      <c r="E45" s="137"/>
      <c r="F45" s="75">
        <f>SUM(F37:F44)</f>
        <v>1422.5713999999998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3">
      <c r="A46" s="14"/>
      <c r="B46" s="32" t="s">
        <v>45</v>
      </c>
      <c r="C46" s="24"/>
      <c r="D46" s="24"/>
      <c r="E46" s="24"/>
      <c r="F46" s="2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3">
      <c r="A47" s="14"/>
      <c r="B47" s="28" t="s">
        <v>44</v>
      </c>
      <c r="C47" s="143" t="s">
        <v>43</v>
      </c>
      <c r="D47" s="136"/>
      <c r="E47" s="137"/>
      <c r="F47" s="23" t="s">
        <v>125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6.5" customHeight="1" x14ac:dyDescent="0.3">
      <c r="A48" s="14"/>
      <c r="B48" s="74" t="s">
        <v>24</v>
      </c>
      <c r="C48" s="139" t="s">
        <v>132</v>
      </c>
      <c r="D48" s="136"/>
      <c r="E48" s="137"/>
      <c r="F48" s="51">
        <f>IF(((TRANSPORTE_POR_DIA*DIAS_UTEIS_TRABALHADOS_NO_MES_44HORAS)-(PERC_DESC_TRANSP_REMUNERACAO%*('TEC SUPORTE SENIOR'!AL_1_A_SAL_BASE_44H)))&gt;0,((TRANSPORTE_POR_DIA*DIAS_UTEIS_TRABALHADOS_NO_MES_44HORAS)-(PERC_DESC_TRANSP_REMUNERACAO%*('TEC SUPORTE SENIOR'!AL_1_A_SAL_BASE_44H))),0)</f>
        <v>37.987800000000021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6.5" customHeight="1" x14ac:dyDescent="0.3">
      <c r="A49" s="19"/>
      <c r="B49" s="74" t="s">
        <v>22</v>
      </c>
      <c r="C49" s="135" t="s">
        <v>131</v>
      </c>
      <c r="D49" s="136"/>
      <c r="E49" s="137"/>
      <c r="F49" s="50">
        <f>IF(AND(ADESAO_AO_PAT="Sim",PERC_PAT&lt;&gt;""),ALIMENTACAO_POR_DIA*DIAS_UTEIS_TRABALHADOS_NO_MES_44HORAS*(100-PERC_PAT)%,IF(AND(ADESAO_AO_PAT="Sim",PERC_PAT=""),"Insira o % do PAT",ALIMENTACAO_POR_DIA*DIAS_UTEIS_TRABALHADOS_NO_MES_44HORAS))</f>
        <v>819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6.5" customHeight="1" x14ac:dyDescent="0.3">
      <c r="A50" s="19"/>
      <c r="B50" s="74" t="s">
        <v>20</v>
      </c>
      <c r="C50" s="167" t="str">
        <f>OUTROS_BENEFICIOS_1_DESCRICAO</f>
        <v>Outros Benefícios 1 (Auxilio creche - 20% x 526,64)</v>
      </c>
      <c r="D50" s="136"/>
      <c r="E50" s="137"/>
      <c r="F50" s="51">
        <f>OUTROS_BENEFICIOS_1</f>
        <v>105.328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6.5" customHeight="1" x14ac:dyDescent="0.3">
      <c r="A51" s="19"/>
      <c r="B51" s="74" t="s">
        <v>18</v>
      </c>
      <c r="C51" s="145" t="str">
        <f>OUTROS_BENEFICIOS_2_DESCRICAO</f>
        <v>Outros Benefícios 2 (Especificar)</v>
      </c>
      <c r="D51" s="136"/>
      <c r="E51" s="137"/>
      <c r="F51" s="50">
        <f>OUTROS_BENEFICIOS_2</f>
        <v>0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6.5" customHeight="1" x14ac:dyDescent="0.3">
      <c r="A52" s="19"/>
      <c r="B52" s="74" t="s">
        <v>16</v>
      </c>
      <c r="C52" s="167" t="str">
        <f>OUTROS_BENEFICIOS_3_DESCRICAO</f>
        <v>Outros Benefícios 3 (Especificar)</v>
      </c>
      <c r="D52" s="136"/>
      <c r="E52" s="137"/>
      <c r="F52" s="51">
        <f>OUTROS_BENEFICIOS_3</f>
        <v>0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5" customHeight="1" x14ac:dyDescent="0.3">
      <c r="A53" s="19"/>
      <c r="B53" s="143" t="s">
        <v>6</v>
      </c>
      <c r="C53" s="136"/>
      <c r="D53" s="136"/>
      <c r="E53" s="137"/>
      <c r="F53" s="73">
        <f>SUM(F48:F52)</f>
        <v>962.31579999999997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6.5" customHeight="1" x14ac:dyDescent="0.3">
      <c r="A54" s="19"/>
      <c r="B54" s="32" t="s">
        <v>36</v>
      </c>
      <c r="C54" s="31"/>
      <c r="D54" s="30"/>
      <c r="E54" s="29"/>
      <c r="F54" s="2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5" customHeight="1" x14ac:dyDescent="0.3">
      <c r="A55" s="19"/>
      <c r="B55" s="28">
        <v>3</v>
      </c>
      <c r="C55" s="138" t="s">
        <v>35</v>
      </c>
      <c r="D55" s="137"/>
      <c r="E55" s="23" t="s">
        <v>41</v>
      </c>
      <c r="F55" s="23" t="s">
        <v>125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6.5" customHeight="1" x14ac:dyDescent="0.3">
      <c r="A56" s="19"/>
      <c r="B56" s="28" t="s">
        <v>24</v>
      </c>
      <c r="C56" s="148" t="s">
        <v>84</v>
      </c>
      <c r="D56" s="137"/>
      <c r="E56" s="44">
        <f>PERC_AVISO_PREVIO_IND</f>
        <v>0.29105124999999998</v>
      </c>
      <c r="F56" s="51">
        <f>PERC_AVISO_PREVIO_IND%*('TEC SUPORTE SENIOR'!MOD_1_REMUNERACAO_44H+SUBMOD_2_1_DEC_TERC_ADIC_FERIAS_44H)</f>
        <v>10.403044828749998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6.5" customHeight="1" x14ac:dyDescent="0.3">
      <c r="A57" s="19"/>
      <c r="B57" s="23" t="s">
        <v>22</v>
      </c>
      <c r="C57" s="142" t="s">
        <v>82</v>
      </c>
      <c r="D57" s="137"/>
      <c r="E57" s="43">
        <f>INCID_FGTS_SOBRE_API</f>
        <v>2.3284099999999999E-2</v>
      </c>
      <c r="F57" s="50">
        <f>INCID_FGTS_SOBRE_API%*('TEC SUPORTE SENIOR'!MOD_1_REMUNERACAO_44H+SUBMOD_2_1_DEC_TERC_ADIC_FERIAS_44H)</f>
        <v>0.83224358629999995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6.5" customHeight="1" x14ac:dyDescent="0.25">
      <c r="A58" s="24"/>
      <c r="B58" s="23" t="s">
        <v>20</v>
      </c>
      <c r="C58" s="148" t="s">
        <v>80</v>
      </c>
      <c r="D58" s="137"/>
      <c r="E58" s="44">
        <f>PERC_MULTA_FGTS_AV_PREV_IND</f>
        <v>0.11176368</v>
      </c>
      <c r="F58" s="51">
        <f>PERC_MULTA_FGTS_AV_PREV_IND%*('TEC SUPORTE SENIOR'!MOD_1_REMUNERACAO_44H+SUBMOD_2_1_DEC_TERC_ADIC_FERIAS_44H)</f>
        <v>3.9947692142399998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6.5" customHeight="1" x14ac:dyDescent="0.25">
      <c r="A59" s="24"/>
      <c r="B59" s="23" t="s">
        <v>18</v>
      </c>
      <c r="C59" s="142" t="s">
        <v>78</v>
      </c>
      <c r="D59" s="137"/>
      <c r="E59" s="43">
        <f>PERC_AVISO_PREVIO_TRAB</f>
        <v>1.1557269305555555</v>
      </c>
      <c r="F59" s="50">
        <f>PERC_AVISO_PREVIO_TRAB%*('TEC SUPORTE SENIOR'!MOD_1_REMUNERACAO_44H+SUBMOD_2_1_DEC_TERC_ADIC_FERIAS_44H)</f>
        <v>41.309147678847218</v>
      </c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6.5" customHeight="1" x14ac:dyDescent="0.25">
      <c r="A60" s="24"/>
      <c r="B60" s="23" t="s">
        <v>16</v>
      </c>
      <c r="C60" s="148" t="s">
        <v>76</v>
      </c>
      <c r="D60" s="137"/>
      <c r="E60" s="44">
        <f>INCID_SUBMOD_2_2_APT</f>
        <v>0.45997931836111106</v>
      </c>
      <c r="F60" s="51">
        <f>INCID_SUBMOD_2_2_APT%*('TEC SUPORTE SENIOR'!MOD_1_REMUNERACAO_44H+SUBMOD_2_1_DEC_TERC_ADIC_FERIAS_44H)</f>
        <v>16.44104077618119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6.5" customHeight="1" x14ac:dyDescent="0.25">
      <c r="A61" s="24"/>
      <c r="B61" s="23" t="s">
        <v>14</v>
      </c>
      <c r="C61" s="142" t="s">
        <v>74</v>
      </c>
      <c r="D61" s="137"/>
      <c r="E61" s="43">
        <f>PERC_MULTA_FGTS_AV_PREV_TRAB</f>
        <v>1.9019963200000001</v>
      </c>
      <c r="F61" s="50">
        <f>PERC_MULTA_FGTS_AV_PREV_TRAB%*('TEC SUPORTE SENIOR'!MOD_1_REMUNERACAO_44H+SUBMOD_2_1_DEC_TERC_ADIC_FERIAS_44H)</f>
        <v>67.983054465759992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6.5" customHeight="1" x14ac:dyDescent="0.3">
      <c r="A62" s="24"/>
      <c r="B62" s="138" t="s">
        <v>6</v>
      </c>
      <c r="C62" s="136"/>
      <c r="D62" s="136"/>
      <c r="E62" s="137"/>
      <c r="F62" s="71">
        <f>SUM(F56:F61)</f>
        <v>140.96330055007837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7.5" customHeight="1" x14ac:dyDescent="0.3">
      <c r="A63" s="14"/>
      <c r="B63" s="64"/>
      <c r="C63" s="14"/>
      <c r="D63" s="63"/>
      <c r="E63" s="40"/>
      <c r="F63" s="40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3">
      <c r="A64" s="24"/>
      <c r="B64" s="32" t="s">
        <v>29</v>
      </c>
      <c r="C64" s="31"/>
      <c r="D64" s="30"/>
      <c r="E64" s="14"/>
      <c r="F64" s="1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">
      <c r="A65" s="24"/>
      <c r="B65" s="32" t="s">
        <v>28</v>
      </c>
      <c r="C65" s="31"/>
      <c r="D65" s="30"/>
      <c r="E65" s="29"/>
      <c r="F65" s="29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6.5" customHeight="1" x14ac:dyDescent="0.25">
      <c r="A66" s="24"/>
      <c r="B66" s="28" t="s">
        <v>27</v>
      </c>
      <c r="C66" s="143" t="s">
        <v>26</v>
      </c>
      <c r="D66" s="137"/>
      <c r="E66" s="23" t="s">
        <v>41</v>
      </c>
      <c r="F66" s="23" t="s">
        <v>125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25">
      <c r="A67" s="24"/>
      <c r="B67" s="23" t="s">
        <v>24</v>
      </c>
      <c r="C67" s="139" t="s">
        <v>71</v>
      </c>
      <c r="D67" s="137"/>
      <c r="E67" s="44">
        <f>PERC_SUBSTITUTO_FERIAS</f>
        <v>8.3333333333333321</v>
      </c>
      <c r="F67" s="51">
        <f>PERC_SUBSTITUTO_FERIAS%*('TEC SUPORTE SENIOR'!MOD_1_REMUNERACAO_44H+'TEC SUPORTE SENIOR'!MOD_2_ENCARGOS_BENEFICIOS_44H)</f>
        <v>496.59893333333315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25">
      <c r="A68" s="24"/>
      <c r="B68" s="23" t="s">
        <v>22</v>
      </c>
      <c r="C68" s="135" t="s">
        <v>69</v>
      </c>
      <c r="D68" s="137"/>
      <c r="E68" s="43">
        <f>PERC_SUBSTITUTO_AUSENCIAS_LEGAIS</f>
        <v>2.2222222222222223</v>
      </c>
      <c r="F68" s="50">
        <f>PERC_SUBSTITUTO_AUSENCIAS_LEGAIS%*('TEC SUPORTE SENIOR'!MOD_1_REMUNERACAO_44H+'TEC SUPORTE SENIOR'!MOD_2_ENCARGOS_BENEFICIOS_44H)</f>
        <v>132.4263822222222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25">
      <c r="A69" s="24"/>
      <c r="B69" s="23" t="s">
        <v>20</v>
      </c>
      <c r="C69" s="139" t="s">
        <v>67</v>
      </c>
      <c r="D69" s="137"/>
      <c r="E69" s="44">
        <f>PERC_SUBSTITUTO_LICENCA_PATERNIDADE</f>
        <v>1.7051833333333329E-2</v>
      </c>
      <c r="F69" s="51">
        <f>PERC_SUBSTITUTO_LICENCA_PATERNIDADE%*('TEC SUPORTE SENIOR'!MOD_1_REMUNERACAO_44H+'TEC SUPORTE SENIOR'!MOD_2_ENCARGOS_BENEFICIOS_44H)</f>
        <v>1.0161506693653328</v>
      </c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6.5" customHeight="1" x14ac:dyDescent="0.25">
      <c r="A70" s="24"/>
      <c r="B70" s="23" t="s">
        <v>18</v>
      </c>
      <c r="C70" s="135" t="s">
        <v>65</v>
      </c>
      <c r="D70" s="137"/>
      <c r="E70" s="43">
        <f>PERC_SUBSTITUTO_ACID_TRAB</f>
        <v>1.85302229372558E-2</v>
      </c>
      <c r="F70" s="50">
        <f>PERC_SUBSTITUTO_ACID_TRAB%*('TEC SUPORTE SENIOR'!MOD_1_REMUNERACAO_44H+'TEC SUPORTE SENIOR'!MOD_2_ENCARGOS_BENEFICIOS_44H)</f>
        <v>1.1042506734084114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6.5" customHeight="1" x14ac:dyDescent="0.25">
      <c r="A71" s="24"/>
      <c r="B71" s="23" t="s">
        <v>16</v>
      </c>
      <c r="C71" s="139" t="s">
        <v>63</v>
      </c>
      <c r="D71" s="137"/>
      <c r="E71" s="44">
        <f>PERC_SUBSTITUTO_AFAST_MATERN</f>
        <v>2.5507554666666658E-2</v>
      </c>
      <c r="F71" s="51">
        <f>PERC_SUBSTITUTO_AFAST_MATERN%*('TEC SUPORTE SENIOR'!MOD_1_REMUNERACAO_44H+'TEC SUPORTE SENIOR'!MOD_2_ENCARGOS_BENEFICIOS_44H)</f>
        <v>1.5200429327290019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6.5" customHeight="1" x14ac:dyDescent="0.25">
      <c r="A72" s="24"/>
      <c r="B72" s="23" t="s">
        <v>14</v>
      </c>
      <c r="C72" s="147" t="str">
        <f>OUTRAS_AUSENCIAS_DESCRICAO</f>
        <v>Outras Ausências (Especificar em %)</v>
      </c>
      <c r="D72" s="137"/>
      <c r="E72" s="72">
        <f>PERC_SUBSTITUTO_OUTRAS_AUSENCIAS</f>
        <v>0</v>
      </c>
      <c r="F72" s="50">
        <f>PERC_SUBSTITUTO_OUTRAS_AUSENCIAS%*('TEC SUPORTE SENIOR'!MOD_1_REMUNERACAO_44H+'TEC SUPORTE SENIOR'!MOD_2_ENCARGOS_BENEFICIOS_44H)</f>
        <v>0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6.5" customHeight="1" x14ac:dyDescent="0.3">
      <c r="A73" s="24"/>
      <c r="B73" s="138" t="s">
        <v>6</v>
      </c>
      <c r="C73" s="136"/>
      <c r="D73" s="136"/>
      <c r="E73" s="137"/>
      <c r="F73" s="71">
        <f>SUM(F67:F72)</f>
        <v>632.66575983105804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7.5" customHeight="1" x14ac:dyDescent="0.3">
      <c r="A74" s="14"/>
      <c r="B74" s="64"/>
      <c r="C74" s="14"/>
      <c r="D74" s="63"/>
      <c r="E74" s="40"/>
      <c r="F74" s="40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6.5" customHeight="1" x14ac:dyDescent="0.3">
      <c r="A75" s="14"/>
      <c r="B75" s="32" t="s">
        <v>130</v>
      </c>
      <c r="C75" s="31"/>
      <c r="D75" s="31"/>
      <c r="E75" s="29"/>
      <c r="F75" s="29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3">
      <c r="A76" s="14"/>
      <c r="B76" s="70">
        <v>5</v>
      </c>
      <c r="C76" s="163" t="s">
        <v>109</v>
      </c>
      <c r="D76" s="164"/>
      <c r="E76" s="165"/>
      <c r="F76" s="69" t="s">
        <v>125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6.5" customHeight="1" x14ac:dyDescent="0.3">
      <c r="A77" s="14"/>
      <c r="B77" s="67" t="s">
        <v>24</v>
      </c>
      <c r="C77" s="166" t="s">
        <v>129</v>
      </c>
      <c r="D77" s="164"/>
      <c r="E77" s="165"/>
      <c r="F77" s="68">
        <f>UNIFORMES</f>
        <v>0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6.5" customHeight="1" x14ac:dyDescent="0.3">
      <c r="A78" s="14"/>
      <c r="B78" s="67" t="s">
        <v>22</v>
      </c>
      <c r="C78" s="181" t="s">
        <v>128</v>
      </c>
      <c r="D78" s="164"/>
      <c r="E78" s="165"/>
      <c r="F78" s="66">
        <f>MATERIAIS</f>
        <v>0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6.5" customHeight="1" x14ac:dyDescent="0.3">
      <c r="A79" s="14"/>
      <c r="B79" s="67" t="s">
        <v>20</v>
      </c>
      <c r="C79" s="166" t="s">
        <v>127</v>
      </c>
      <c r="D79" s="164"/>
      <c r="E79" s="165"/>
      <c r="F79" s="68">
        <f>EQUIPAMENTOS</f>
        <v>0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6.5" customHeight="1" x14ac:dyDescent="0.3">
      <c r="A80" s="14"/>
      <c r="B80" s="67" t="s">
        <v>18</v>
      </c>
      <c r="C80" s="183" t="str">
        <f>OUTROS_INSUMOS_DESCRICAO</f>
        <v>EPI</v>
      </c>
      <c r="D80" s="164"/>
      <c r="E80" s="165"/>
      <c r="F80" s="66">
        <f>OUTROS_INSUMOS</f>
        <v>0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6.5" customHeight="1" x14ac:dyDescent="0.3">
      <c r="A81" s="14"/>
      <c r="B81" s="163" t="s">
        <v>6</v>
      </c>
      <c r="C81" s="164"/>
      <c r="D81" s="164"/>
      <c r="E81" s="165"/>
      <c r="F81" s="65">
        <f>SUM(F77:F80)</f>
        <v>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7.5" customHeight="1" x14ac:dyDescent="0.3">
      <c r="A82" s="14"/>
      <c r="B82" s="64"/>
      <c r="C82" s="14"/>
      <c r="D82" s="63"/>
      <c r="E82" s="40"/>
      <c r="F82" s="40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" customHeight="1" x14ac:dyDescent="0.3">
      <c r="A83" s="14"/>
      <c r="B83" s="182" t="s">
        <v>126</v>
      </c>
      <c r="C83" s="141"/>
      <c r="D83" s="141"/>
      <c r="E83" s="141"/>
      <c r="F83" s="141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6.5" customHeight="1" x14ac:dyDescent="0.3">
      <c r="A84" s="14"/>
      <c r="B84" s="28">
        <v>6</v>
      </c>
      <c r="C84" s="138" t="s">
        <v>108</v>
      </c>
      <c r="D84" s="137"/>
      <c r="E84" s="23" t="s">
        <v>41</v>
      </c>
      <c r="F84" s="23" t="s">
        <v>125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6.5" customHeight="1" x14ac:dyDescent="0.3">
      <c r="A85" s="14"/>
      <c r="B85" s="28" t="s">
        <v>24</v>
      </c>
      <c r="C85" s="139" t="s">
        <v>124</v>
      </c>
      <c r="D85" s="137"/>
      <c r="E85" s="61">
        <f>PERC_CUSTOS_INDIRETOS</f>
        <v>4.7300000000000004</v>
      </c>
      <c r="F85" s="51">
        <f>PERC_CUSTOS_INDIRETOS%*('TEC SUPORTE SENIOR'!MOD_1_REMUNERACAO_44H+'TEC SUPORTE SENIOR'!MOD_2_ENCARGOS_BENEFICIOS_44H+'TEC SUPORTE SENIOR'!MOD_3_PROVISAO_RESCISAO_44H+'TEC SUPORTE SENIOR'!MOD_4_CUSTO_REPOSICAO_44H+'TEC SUPORTE SENIOR'!MOD_5_INSUMOS_44H)</f>
        <v>318.46220911602774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3">
      <c r="A86" s="14"/>
      <c r="B86" s="23" t="s">
        <v>22</v>
      </c>
      <c r="C86" s="135" t="s">
        <v>123</v>
      </c>
      <c r="D86" s="137"/>
      <c r="E86" s="62">
        <f>PERC_LUCRO</f>
        <v>5.57</v>
      </c>
      <c r="F86" s="50">
        <f>PERC_LUCRO%*('TEC SUPORTE SENIOR'!MOD_1_REMUNERACAO_44H+'TEC SUPORTE SENIOR'!MOD_2_ENCARGOS_BENEFICIOS_44H+'TEC SUPORTE SENIOR'!MOD_3_PROVISAO_RESCISAO_44H+'TEC SUPORTE SENIOR'!MOD_4_CUSTO_REPOSICAO_44H+'TEC SUPORTE SENIOR'!MOD_5_INSUMOS_44H+'TEC SUPORTE SENIOR'!AL_6_A_CUSTOS_INDIRETOS_44H)</f>
        <v>392.75621075099207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6.5" customHeight="1" x14ac:dyDescent="0.3">
      <c r="A87" s="14"/>
      <c r="B87" s="23" t="s">
        <v>20</v>
      </c>
      <c r="C87" s="139" t="s">
        <v>122</v>
      </c>
      <c r="D87" s="137"/>
      <c r="E87" s="61">
        <f>SUM(E88:E90)</f>
        <v>8.65</v>
      </c>
      <c r="F87" s="51">
        <f>SUM(F88:F90)</f>
        <v>704.88122588009355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3">
      <c r="A88" s="14"/>
      <c r="B88" s="58" t="s">
        <v>121</v>
      </c>
      <c r="C88" s="194" t="s">
        <v>120</v>
      </c>
      <c r="D88" s="137"/>
      <c r="E88" s="57">
        <f>PERC_PIS</f>
        <v>0.65</v>
      </c>
      <c r="F88" s="56">
        <f>(('TEC SUPORTE SENIOR'!MOD_1_REMUNERACAO_44H+'TEC SUPORTE SENIOR'!MOD_2_ENCARGOS_BENEFICIOS_44H+'TEC SUPORTE SENIOR'!MOD_3_PROVISAO_RESCISAO_44H+'TEC SUPORTE SENIOR'!MOD_4_CUSTO_REPOSICAO_44H+'TEC SUPORTE SENIOR'!MOD_5_INSUMOS_44H+'TEC SUPORTE SENIOR'!AL_6_A_CUSTOS_INDIRETOS_44H+'TEC SUPORTE SENIOR'!AL_6_B_LUCRO_44H)*PERC_PIS%)/(1-'TEC SUPORTE SENIOR'!PERC_TRIBUTOS%)</f>
        <v>52.967953389833632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6.5" customHeight="1" x14ac:dyDescent="0.3">
      <c r="A89" s="14"/>
      <c r="B89" s="58" t="s">
        <v>119</v>
      </c>
      <c r="C89" s="195" t="s">
        <v>118</v>
      </c>
      <c r="D89" s="137"/>
      <c r="E89" s="60">
        <f>PERC_COFINS</f>
        <v>3</v>
      </c>
      <c r="F89" s="59">
        <f>(('TEC SUPORTE SENIOR'!MOD_1_REMUNERACAO_44H+'TEC SUPORTE SENIOR'!MOD_2_ENCARGOS_BENEFICIOS_44H+'TEC SUPORTE SENIOR'!MOD_3_PROVISAO_RESCISAO_44H+'TEC SUPORTE SENIOR'!MOD_4_CUSTO_REPOSICAO_44H+'TEC SUPORTE SENIOR'!MOD_5_INSUMOS_44H+'TEC SUPORTE SENIOR'!AL_6_A_CUSTOS_INDIRETOS_44H+'TEC SUPORTE SENIOR'!AL_6_B_LUCRO_44H)*PERC_COFINS%)/(1-'TEC SUPORTE SENIOR'!PERC_TRIBUTOS%)</f>
        <v>244.46747718384751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6.5" customHeight="1" x14ac:dyDescent="0.3">
      <c r="A90" s="52"/>
      <c r="B90" s="58" t="s">
        <v>117</v>
      </c>
      <c r="C90" s="194" t="s">
        <v>116</v>
      </c>
      <c r="D90" s="137"/>
      <c r="E90" s="57">
        <f>PERC_ISS</f>
        <v>5</v>
      </c>
      <c r="F90" s="56">
        <f>(('TEC SUPORTE SENIOR'!MOD_1_REMUNERACAO_44H+'TEC SUPORTE SENIOR'!MOD_2_ENCARGOS_BENEFICIOS_44H+'TEC SUPORTE SENIOR'!MOD_3_PROVISAO_RESCISAO_44H+'TEC SUPORTE SENIOR'!MOD_4_CUSTO_REPOSICAO_44H+'TEC SUPORTE SENIOR'!MOD_5_INSUMOS_44H+'TEC SUPORTE SENIOR'!AL_6_A_CUSTOS_INDIRETOS_44H+'TEC SUPORTE SENIOR'!AL_6_B_LUCRO_44H)*PERC_ISS%)/(1-'TEC SUPORTE SENIOR'!PERC_TRIBUTOS%)</f>
        <v>407.44579530641249</v>
      </c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6.5" customHeight="1" x14ac:dyDescent="0.3">
      <c r="A91" s="52"/>
      <c r="B91" s="138" t="s">
        <v>6</v>
      </c>
      <c r="C91" s="136"/>
      <c r="D91" s="136"/>
      <c r="E91" s="137"/>
      <c r="F91" s="48">
        <f>'TEC SUPORTE SENIOR'!AL_6_A_CUSTOS_INDIRETOS_44H+'TEC SUPORTE SENIOR'!AL_6_B_LUCRO_44H+'TEC SUPORTE SENIOR'!AL_6_C_TRIBUTOS_44H</f>
        <v>1416.0996457471133</v>
      </c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6.5" customHeight="1" x14ac:dyDescent="0.3">
      <c r="A92" s="52"/>
      <c r="B92" s="55" t="s">
        <v>115</v>
      </c>
      <c r="C92" s="15"/>
      <c r="D92" s="15"/>
      <c r="E92" s="15"/>
      <c r="F92" s="54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6.5" customHeight="1" x14ac:dyDescent="0.3">
      <c r="A93" s="53"/>
      <c r="B93" s="23" t="s">
        <v>114</v>
      </c>
      <c r="C93" s="143" t="s">
        <v>113</v>
      </c>
      <c r="D93" s="136"/>
      <c r="E93" s="137"/>
      <c r="F93" s="23" t="s">
        <v>112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6.5" customHeight="1" x14ac:dyDescent="0.3">
      <c r="A94" s="52"/>
      <c r="B94" s="28">
        <v>1</v>
      </c>
      <c r="C94" s="139" t="s">
        <v>58</v>
      </c>
      <c r="D94" s="136"/>
      <c r="E94" s="137"/>
      <c r="F94" s="51">
        <f>'TEC SUPORTE SENIOR'!MOD_1_REMUNERACAO_44H</f>
        <v>3216.87</v>
      </c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6.5" customHeight="1" x14ac:dyDescent="0.3">
      <c r="A95" s="49"/>
      <c r="B95" s="23">
        <v>2</v>
      </c>
      <c r="C95" s="135" t="s">
        <v>111</v>
      </c>
      <c r="D95" s="136"/>
      <c r="E95" s="137"/>
      <c r="F95" s="50">
        <f>'TEC SUPORTE SENIOR'!MOD_2_ENCARGOS_BENEFICIOS_44H</f>
        <v>2742.3171999999995</v>
      </c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6.5" customHeight="1" x14ac:dyDescent="0.3">
      <c r="A96" s="49"/>
      <c r="B96" s="23">
        <v>3</v>
      </c>
      <c r="C96" s="139" t="s">
        <v>35</v>
      </c>
      <c r="D96" s="136"/>
      <c r="E96" s="137"/>
      <c r="F96" s="51">
        <f>'TEC SUPORTE SENIOR'!MOD_3_PROVISAO_RESCISAO_44H</f>
        <v>140.96330055007837</v>
      </c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6.5" customHeight="1" x14ac:dyDescent="0.3">
      <c r="A97" s="49"/>
      <c r="B97" s="23">
        <v>4</v>
      </c>
      <c r="C97" s="135" t="s">
        <v>110</v>
      </c>
      <c r="D97" s="136"/>
      <c r="E97" s="137"/>
      <c r="F97" s="50">
        <f>'TEC SUPORTE SENIOR'!MOD_4_CUSTO_REPOSICAO_44H</f>
        <v>632.66575983105804</v>
      </c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6.5" customHeight="1" x14ac:dyDescent="0.3">
      <c r="A98" s="49"/>
      <c r="B98" s="23">
        <v>5</v>
      </c>
      <c r="C98" s="139" t="s">
        <v>109</v>
      </c>
      <c r="D98" s="136"/>
      <c r="E98" s="137"/>
      <c r="F98" s="51">
        <f>'TEC SUPORTE SENIOR'!MOD_5_INSUMOS_44H</f>
        <v>0</v>
      </c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6.5" customHeight="1" x14ac:dyDescent="0.3">
      <c r="A99" s="49"/>
      <c r="B99" s="23">
        <v>6</v>
      </c>
      <c r="C99" s="135" t="s">
        <v>108</v>
      </c>
      <c r="D99" s="136"/>
      <c r="E99" s="137"/>
      <c r="F99" s="50">
        <f>'TEC SUPORTE SENIOR'!MOD_6_CUSTOS_IND_LUCRO_TRIB_44H</f>
        <v>1416.0996457471133</v>
      </c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6.5" customHeight="1" x14ac:dyDescent="0.3">
      <c r="A100" s="14"/>
      <c r="B100" s="143" t="s">
        <v>107</v>
      </c>
      <c r="C100" s="136"/>
      <c r="D100" s="136"/>
      <c r="E100" s="137"/>
      <c r="F100" s="48">
        <f>SUM(F94:F99)</f>
        <v>8148.9159061282498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6.5" customHeight="1" x14ac:dyDescent="0.3">
      <c r="A101" s="14"/>
      <c r="B101" s="143" t="s">
        <v>106</v>
      </c>
      <c r="C101" s="136"/>
      <c r="D101" s="136"/>
      <c r="E101" s="137"/>
      <c r="F101" s="48">
        <f>VALOR_TOTAL_EMPREGADO_44H*'INSERÇÃO-DE-DADOS'!E20</f>
        <v>16297.8318122565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6.5" customHeight="1" x14ac:dyDescent="0.3">
      <c r="A102" s="14"/>
      <c r="B102" s="143" t="s">
        <v>105</v>
      </c>
      <c r="C102" s="136"/>
      <c r="D102" s="136"/>
      <c r="E102" s="137"/>
      <c r="F102" s="48">
        <f>VALOR_TOTAL_POSTO_44H</f>
        <v>16297.8318122565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6.5" customHeight="1" x14ac:dyDescent="0.3">
      <c r="A103" s="14"/>
      <c r="B103" s="14"/>
      <c r="C103" s="14"/>
      <c r="D103" s="14"/>
      <c r="E103" s="14"/>
      <c r="F103" s="14"/>
      <c r="G103" s="14"/>
      <c r="H103" s="126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6.5" customHeight="1" x14ac:dyDescent="0.3">
      <c r="A104" s="14"/>
      <c r="B104" s="14" t="s">
        <v>61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6.5" customHeight="1" x14ac:dyDescent="0.3">
      <c r="A105" s="14"/>
      <c r="B105" s="14"/>
      <c r="C105" s="14"/>
      <c r="D105" s="14"/>
      <c r="E105" s="14"/>
      <c r="F105" s="14"/>
      <c r="G105" s="14"/>
      <c r="H105" s="126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6.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6.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6.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6.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6.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6.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6.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6.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6.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6.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6.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6.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6.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6.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6.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6.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6.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6.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6.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6.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6.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6.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6.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6.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6.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6.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6.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6.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6.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6.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6.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6.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6.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6.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6.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6.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6.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6.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6.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6.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6.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6.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6.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6.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6.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6.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6.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6.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6.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6.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6.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6.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6.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6.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6.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6.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6.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6.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6.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6.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6.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6.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6.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6.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6.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6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6.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6.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6.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6.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6.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6.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6.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6.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6.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6.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6.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6.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6.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6.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6.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6.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6.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6.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6.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6.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6.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6.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6.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6.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6.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6.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6.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6.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6.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6.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6.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6.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6.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6.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6.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6.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6.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6.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6.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6.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6.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6.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6.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6.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6.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6.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6.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6.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6.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6.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6.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6.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6.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6.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6.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6.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6.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6.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6.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6.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6.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6.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6.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6.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6.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6.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6.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6.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6.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6.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6.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6.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6.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6.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6.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6.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6.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6.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6.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6.5" customHeight="1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6.5" customHeight="1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6.5" customHeight="1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6.5" customHeight="1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6.5" customHeight="1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6.5" customHeight="1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6.5" customHeight="1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6.5" customHeight="1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6.5" customHeight="1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6.5" customHeight="1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6.5" customHeight="1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6.5" customHeight="1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6.5" customHeight="1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6.5" customHeight="1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6.5" customHeight="1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6.5" customHeight="1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6.5" customHeight="1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6.5" customHeight="1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6.5" customHeight="1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6.5" customHeight="1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6.5" customHeight="1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6.5" customHeight="1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6.5" customHeight="1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6.5" customHeight="1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6.5" customHeight="1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6.5" customHeight="1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6.5" customHeight="1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6.5" customHeight="1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6.5" customHeight="1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6.5" customHeight="1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6.5" customHeight="1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6.5" customHeight="1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6.5" customHeight="1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6.5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6.5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6.5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6.5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6.5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6.5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6.5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6.5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6.5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6.5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6.5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6.5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6.5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6.5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6.5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6.5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6.5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6.5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6.5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6.5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6.5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6.5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6.5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6.5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6.5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6.5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6.5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6.5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6.5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6.5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6.5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6.5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6.5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6.5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6.5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6.5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6.5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6.5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6.5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6.5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6.5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6.5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6.5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6.5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6.5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6.5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6.5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6.5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6.5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6.5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6.5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6.5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6.5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6.5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6.5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6.5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6.5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6.5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6.5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6.5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6.5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6.5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6.5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6.5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6.5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6.5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6.5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6.5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6.5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6.5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6.5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6.5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6.5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6.5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6.5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6.5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6.5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6.5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6.5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6.5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6.5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6.5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6.5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6.5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6.5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6.5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6.5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6.5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6.5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6.5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6.5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6.5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6.5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6.5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6.5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6.5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6.5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6.5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6.5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6.5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6.5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6.5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6.5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6.5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6.5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6.5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6.5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6.5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6.5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6.5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6.5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6.5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6.5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6.5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6.5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6.5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6.5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6.5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6.5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6.5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6.5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6.5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6.5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6.5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6.5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6.5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6.5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6.5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6.5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6.5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6.5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6.5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6.5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6.5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6.5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6.5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6.5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6.5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6.5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6.5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6.5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6.5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6.5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6.5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6.5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6.5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6.5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6.5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6.5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6.5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6.5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6.5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6.5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6.5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6.5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6.5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6.5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6.5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6.5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6.5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6.5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6.5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6.5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6.5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6.5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6.5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6.5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6.5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6.5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6.5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6.5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6.5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6.5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6.5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6.5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6.5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6.5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6.5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6.5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6.5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6.5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6.5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6.5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6.5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6.5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6.5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6.5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6.5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6.5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6.5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6.5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6.5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6.5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6.5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6.5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6.5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6.5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6.5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6.5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6.5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6.5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6.5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6.5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6.5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6.5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6.5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6.5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6.5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6.5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6.5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6.5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6.5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6.5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6.5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6.5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6.5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6.5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6.5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6.5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6.5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6.5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6.5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6.5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6.5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6.5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6.5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6.5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6.5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6.5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6.5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6.5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6.5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6.5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6.5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6.5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6.5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6.5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6.5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6.5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6.5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6.5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6.5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6.5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6.5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6.5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6.5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6.5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6.5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6.5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6.5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6.5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6.5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6.5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6.5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6.5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6.5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6.5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6.5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6.5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6.5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6.5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6.5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6.5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6.5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6.5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6.5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6.5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6.5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6.5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6.5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6.5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6.5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6.5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6.5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6.5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6.5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6.5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6.5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6.5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6.5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6.5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6.5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6.5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6.5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6.5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6.5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6.5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6.5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6.5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6.5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6.5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6.5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6.5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6.5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6.5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6.5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6.5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6.5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6.5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6.5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6.5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6.5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6.5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6.5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6.5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6.5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6.5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6.5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6.5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6.5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6.5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6.5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6.5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6.5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6.5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6.5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6.5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6.5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6.5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6.5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6.5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6.5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6.5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6.5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6.5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6.5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6.5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6.5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6.5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6.5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6.5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6.5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6.5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6.5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6.5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6.5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6.5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6.5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6.5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6.5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6.5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6.5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6.5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6.5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6.5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6.5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6.5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6.5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6.5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6.5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6.5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6.5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6.5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6.5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6.5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6.5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6.5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6.5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6.5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6.5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6.5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6.5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6.5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6.5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6.5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6.5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6.5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6.5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6.5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6.5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6.5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6.5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6.5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6.5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6.5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6.5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6.5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6.5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6.5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6.5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6.5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6.5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6.5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6.5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6.5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6.5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6.5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6.5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6.5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6.5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6.5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6.5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6.5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6.5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6.5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6.5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6.5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6.5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6.5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6.5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6.5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6.5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6.5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6.5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6.5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6.5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6.5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6.5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6.5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6.5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6.5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6.5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6.5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6.5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6.5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6.5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6.5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6.5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6.5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6.5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6.5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6.5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6.5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6.5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6.5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6.5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6.5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6.5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6.5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6.5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6.5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6.5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6.5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6.5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6.5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6.5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6.5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6.5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6.5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6.5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6.5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6.5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6.5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6.5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6.5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6.5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6.5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6.5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6.5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6.5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6.5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6.5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6.5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6.5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6.5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6.5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6.5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6.5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6.5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6.5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6.5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6.5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6.5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6.5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6.5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6.5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6.5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6.5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6.5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6.5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6.5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6.5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6.5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6.5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6.5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6.5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6.5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6.5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6.5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6.5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6.5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6.5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6.5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6.5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6.5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6.5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6.5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6.5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6.5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6.5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6.5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6.5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6.5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6.5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6.5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6.5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6.5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6.5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6.5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6.5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6.5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6.5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6.5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6.5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6.5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6.5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6.5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6.5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6.5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6.5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6.5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6.5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6.5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6.5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6.5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6.5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6.5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6.5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6.5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6.5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6.5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6.5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6.5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6.5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6.5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6.5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6.5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6.5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6.5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6.5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6.5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6.5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6.5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6.5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6.5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6.5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6.5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6.5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6.5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6.5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6.5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6.5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6.5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6.5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6.5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6.5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6.5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6.5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6.5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6.5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6.5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6.5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6.5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6.5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6.5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6.5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6.5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6.5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6.5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6.5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6.5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6.5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6.5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6.5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6.5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6.5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6.5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6.5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6.5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6.5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6.5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6.5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6.5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6.5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6.5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6.5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6.5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6.5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6.5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6.5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6.5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6.5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6.5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6.5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6.5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6.5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6.5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6.5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6.5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6.5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6.5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6.5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6.5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6.5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6.5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6.5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6.5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6.5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6.5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6.5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6.5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6.5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6.5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6.5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6.5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6.5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6.5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6.5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6.5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6.5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6.5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6.5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6.5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6.5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6.5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6.5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6.5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6.5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6.5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6.5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6.5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6.5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6.5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6.5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6.5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6.5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6.5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6.5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6.5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6.5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6.5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6.5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6.5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6.5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6.5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6.5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6.5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6.5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6.5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6.5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6.5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6.5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6.5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6.5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6.5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6.5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6.5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6.5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6.5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6.5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6.5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6.5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6.5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6.5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6.5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6.5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6.5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6.5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6.5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6.5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6.5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6.5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6.5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6.5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6.5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6.5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6.5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6.5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6.5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6.5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6.5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6.5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6.5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6.5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6.5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6.5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6.5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6.5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6.5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6.5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6.5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6.5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6.5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6.5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6.5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6.5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6.5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6.5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6.5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6.5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6.5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6.5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6.5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6.5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6.5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6.5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6.5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6.5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6.5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6.5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6.5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6.5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6.5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6.5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6.5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6.5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6.5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6.5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6.5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6.5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6.5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6.5" customHeight="1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6.5" customHeight="1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6.5" customHeight="1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6.5" customHeight="1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92">
    <mergeCell ref="B101:E101"/>
    <mergeCell ref="B102:E102"/>
    <mergeCell ref="C95:E95"/>
    <mergeCell ref="C96:E96"/>
    <mergeCell ref="C97:E97"/>
    <mergeCell ref="C98:E98"/>
    <mergeCell ref="C99:E99"/>
    <mergeCell ref="B100:E100"/>
    <mergeCell ref="C94:E94"/>
    <mergeCell ref="B81:E81"/>
    <mergeCell ref="B83:F83"/>
    <mergeCell ref="C84:D84"/>
    <mergeCell ref="C85:D85"/>
    <mergeCell ref="C86:D86"/>
    <mergeCell ref="C87:D87"/>
    <mergeCell ref="C88:D88"/>
    <mergeCell ref="C89:D89"/>
    <mergeCell ref="C90:D90"/>
    <mergeCell ref="B91:E91"/>
    <mergeCell ref="C93:E93"/>
    <mergeCell ref="C80:E80"/>
    <mergeCell ref="C67:D67"/>
    <mergeCell ref="C68:D68"/>
    <mergeCell ref="C69:D69"/>
    <mergeCell ref="C70:D70"/>
    <mergeCell ref="C71:D71"/>
    <mergeCell ref="C72:D72"/>
    <mergeCell ref="B73:E73"/>
    <mergeCell ref="C76:E76"/>
    <mergeCell ref="C77:E77"/>
    <mergeCell ref="C78:E78"/>
    <mergeCell ref="C79:E79"/>
    <mergeCell ref="C66:D66"/>
    <mergeCell ref="C51:E51"/>
    <mergeCell ref="C52:E52"/>
    <mergeCell ref="B53:E53"/>
    <mergeCell ref="C55:D55"/>
    <mergeCell ref="C56:D56"/>
    <mergeCell ref="C57:D57"/>
    <mergeCell ref="C58:D58"/>
    <mergeCell ref="C59:D59"/>
    <mergeCell ref="C60:D60"/>
    <mergeCell ref="C61:D61"/>
    <mergeCell ref="B62:E62"/>
    <mergeCell ref="C50:E50"/>
    <mergeCell ref="C38:D38"/>
    <mergeCell ref="C39:D39"/>
    <mergeCell ref="C40:D40"/>
    <mergeCell ref="C41:D41"/>
    <mergeCell ref="C42:D42"/>
    <mergeCell ref="C43:D43"/>
    <mergeCell ref="C44:D44"/>
    <mergeCell ref="B45:E45"/>
    <mergeCell ref="C47:E47"/>
    <mergeCell ref="C48:E48"/>
    <mergeCell ref="C49:E49"/>
    <mergeCell ref="C37:D37"/>
    <mergeCell ref="C24:E24"/>
    <mergeCell ref="C25:E25"/>
    <mergeCell ref="C26:E26"/>
    <mergeCell ref="C27:E27"/>
    <mergeCell ref="B28:E28"/>
    <mergeCell ref="C31:D31"/>
    <mergeCell ref="C32:D32"/>
    <mergeCell ref="C33:D33"/>
    <mergeCell ref="B34:E34"/>
    <mergeCell ref="B35:F35"/>
    <mergeCell ref="C36:D36"/>
    <mergeCell ref="C23:E23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conditionalFormatting sqref="F49">
    <cfRule type="cellIs" dxfId="3" priority="1" operator="equal">
      <formula>"Insira o % do PAT"</formula>
    </cfRule>
  </conditionalFormatting>
  <printOptions horizontalCentered="1"/>
  <pageMargins left="0.08" right="0.05" top="0.19685039370078741" bottom="0.15748031496062992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5359-C8DE-4DA7-B099-8C7E77D76526}">
  <dimension ref="A1:Z1000"/>
  <sheetViews>
    <sheetView topLeftCell="A73" workbookViewId="0">
      <selection activeCell="F103" sqref="F103"/>
    </sheetView>
  </sheetViews>
  <sheetFormatPr defaultColWidth="12.5703125" defaultRowHeight="15" customHeight="1" x14ac:dyDescent="0.25"/>
  <cols>
    <col min="1" max="1" width="2.7109375" style="13" customWidth="1"/>
    <col min="2" max="2" width="8.85546875" style="13" customWidth="1"/>
    <col min="3" max="3" width="52.5703125" style="13" customWidth="1"/>
    <col min="4" max="4" width="15.7109375" style="13" customWidth="1"/>
    <col min="5" max="5" width="13.5703125" style="13" customWidth="1"/>
    <col min="6" max="6" width="19.42578125" style="13" customWidth="1"/>
    <col min="7" max="26" width="9.140625" style="13" customWidth="1"/>
    <col min="27" max="16384" width="12.5703125" style="13"/>
  </cols>
  <sheetData>
    <row r="1" spans="1:26" ht="16.5" customHeight="1" x14ac:dyDescent="0.35">
      <c r="A1" s="14"/>
      <c r="B1" s="192" t="str">
        <f>RAMO</f>
        <v>RAMO: CONSELHO NACIONAL DO MINISTÉRIO PÚBLICO</v>
      </c>
      <c r="C1" s="136"/>
      <c r="D1" s="136"/>
      <c r="E1" s="136"/>
      <c r="F1" s="137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6.5" customHeight="1" x14ac:dyDescent="0.35">
      <c r="A2" s="14"/>
      <c r="B2" s="193" t="str">
        <f>UG</f>
        <v>UNIDADE GESTORA (SIGLA): CNMP</v>
      </c>
      <c r="C2" s="136"/>
      <c r="D2" s="137"/>
      <c r="E2" s="90" t="s">
        <v>153</v>
      </c>
      <c r="F2" s="89">
        <f>DATA_DO_ORCAMENTO_ESTIMATIVO</f>
        <v>46149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5.5" x14ac:dyDescent="0.5">
      <c r="A3" s="24"/>
      <c r="B3" s="179" t="s">
        <v>152</v>
      </c>
      <c r="C3" s="141"/>
      <c r="D3" s="141"/>
      <c r="E3" s="141"/>
      <c r="F3" s="14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 x14ac:dyDescent="0.3">
      <c r="A4" s="24"/>
      <c r="B4" s="172" t="s">
        <v>151</v>
      </c>
      <c r="C4" s="173"/>
      <c r="D4" s="173"/>
      <c r="E4" s="173"/>
      <c r="F4" s="17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3">
      <c r="A5" s="24"/>
      <c r="B5" s="144" t="s">
        <v>150</v>
      </c>
      <c r="C5" s="137"/>
      <c r="D5" s="185" t="str">
        <f>NUMERO_PROCESSO</f>
        <v>19.00.6300.0004747/2025-48</v>
      </c>
      <c r="E5" s="136"/>
      <c r="F5" s="13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3">
      <c r="A6" s="24"/>
      <c r="B6" s="146" t="s">
        <v>149</v>
      </c>
      <c r="C6" s="137"/>
      <c r="D6" s="188" t="str">
        <f>MODALIDADE_DE_LICITACAO</f>
        <v>Pregão nº</v>
      </c>
      <c r="E6" s="137"/>
      <c r="F6" s="88" t="str">
        <f>NUMERO_PREGAO</f>
        <v>XX/20XX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3">
      <c r="A7" s="24"/>
      <c r="B7" s="189" t="s">
        <v>148</v>
      </c>
      <c r="C7" s="190"/>
      <c r="D7" s="190"/>
      <c r="E7" s="190"/>
      <c r="F7" s="190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8" customHeight="1" x14ac:dyDescent="0.3">
      <c r="A8" s="24"/>
      <c r="B8" s="74" t="s">
        <v>24</v>
      </c>
      <c r="C8" s="144" t="s">
        <v>147</v>
      </c>
      <c r="D8" s="136"/>
      <c r="E8" s="137"/>
      <c r="F8" s="87" t="str">
        <f>DATA_APRESENTACAO_PROPOSTA</f>
        <v>XX/XX/20XX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 x14ac:dyDescent="0.25">
      <c r="A9" s="24"/>
      <c r="B9" s="28" t="s">
        <v>22</v>
      </c>
      <c r="C9" s="45" t="s">
        <v>146</v>
      </c>
      <c r="D9" s="142" t="str">
        <f>IF(LOCAL_DE_EXECUCAO="","",LOCAL_DE_EXECUCAO)</f>
        <v>CNMP</v>
      </c>
      <c r="E9" s="136"/>
      <c r="F9" s="137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8.75" customHeight="1" x14ac:dyDescent="0.3">
      <c r="A10" s="24"/>
      <c r="B10" s="74" t="s">
        <v>20</v>
      </c>
      <c r="C10" s="144" t="s">
        <v>145</v>
      </c>
      <c r="D10" s="136"/>
      <c r="E10" s="137"/>
      <c r="F10" s="86" t="str">
        <f>ACORDO_COLETIVO</f>
        <v>717/2025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3">
      <c r="A11" s="24"/>
      <c r="B11" s="28" t="s">
        <v>18</v>
      </c>
      <c r="C11" s="142" t="s">
        <v>144</v>
      </c>
      <c r="D11" s="136"/>
      <c r="E11" s="137"/>
      <c r="F11" s="35">
        <f>NUMERO_MESES_EXEC_CONTRATUAL</f>
        <v>60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6.5" customHeight="1" x14ac:dyDescent="0.3">
      <c r="A12" s="24"/>
      <c r="B12" s="28" t="s">
        <v>16</v>
      </c>
      <c r="C12" s="148" t="s">
        <v>143</v>
      </c>
      <c r="D12" s="136"/>
      <c r="E12" s="137"/>
      <c r="F12" s="33">
        <f>IF('TEC MANUT SENIOR'!QTDE_POSTOS="","",'TEC MANUT SENIOR'!QTDE_POSTOS)</f>
        <v>1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" customHeight="1" x14ac:dyDescent="0.25">
      <c r="A13" s="83"/>
      <c r="B13" s="85" t="s">
        <v>142</v>
      </c>
      <c r="C13" s="84"/>
      <c r="D13" s="84"/>
      <c r="E13" s="84"/>
      <c r="F13" s="84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16.5" customHeight="1" x14ac:dyDescent="0.3">
      <c r="A14" s="24"/>
      <c r="B14" s="74">
        <v>1</v>
      </c>
      <c r="C14" s="144" t="s">
        <v>141</v>
      </c>
      <c r="D14" s="137"/>
      <c r="E14" s="158" t="str">
        <f>'INSERÇÃO-DE-DADOS'!C21</f>
        <v>TÉCNICO EM MANUTENÇÃO DE EQUIPAMENTOS DE INFORMÁTICA SÊNIOR</v>
      </c>
      <c r="F14" s="191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6.5" customHeight="1" x14ac:dyDescent="0.3">
      <c r="A15" s="24"/>
      <c r="B15" s="74">
        <v>2</v>
      </c>
      <c r="C15" s="82" t="s">
        <v>140</v>
      </c>
      <c r="D15" s="187" t="str">
        <f>'INSERÇÃO-DE-DADOS'!F29</f>
        <v>3132-20</v>
      </c>
      <c r="E15" s="136"/>
      <c r="F15" s="137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" customHeight="1" x14ac:dyDescent="0.3">
      <c r="A16" s="24"/>
      <c r="B16" s="74">
        <v>3</v>
      </c>
      <c r="C16" s="81" t="s">
        <v>139</v>
      </c>
      <c r="D16" s="185" t="str">
        <f>IF(CATEGORIA_PROFISSIONAL="","",CATEGORIA_PROFISSIONAL)</f>
        <v/>
      </c>
      <c r="E16" s="136"/>
      <c r="F16" s="137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" customHeight="1" x14ac:dyDescent="0.3">
      <c r="A17" s="24"/>
      <c r="B17" s="74">
        <v>4</v>
      </c>
      <c r="C17" s="146" t="s">
        <v>138</v>
      </c>
      <c r="D17" s="136"/>
      <c r="E17" s="137"/>
      <c r="F17" s="80">
        <f>DATA_BASE_CATEGORIA</f>
        <v>46143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 x14ac:dyDescent="0.3">
      <c r="A18" s="79"/>
      <c r="B18" s="186" t="s">
        <v>137</v>
      </c>
      <c r="C18" s="173"/>
      <c r="D18" s="173"/>
      <c r="E18" s="173"/>
      <c r="F18" s="173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16.5" customHeight="1" x14ac:dyDescent="0.3">
      <c r="A19" s="14"/>
      <c r="B19" s="138" t="s">
        <v>136</v>
      </c>
      <c r="C19" s="136"/>
      <c r="D19" s="136"/>
      <c r="E19" s="137"/>
      <c r="F19" s="78">
        <f>IF(EMPREG_POR_POSTO="","",EMPREG_POR_POSTO)</f>
        <v>1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6.5" customHeight="1" x14ac:dyDescent="0.3">
      <c r="A20" s="14"/>
      <c r="B20" s="32" t="s">
        <v>59</v>
      </c>
      <c r="C20" s="14"/>
      <c r="D20" s="14"/>
      <c r="E20" s="40"/>
      <c r="F20" s="4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6.5" customHeight="1" x14ac:dyDescent="0.3">
      <c r="A21" s="14"/>
      <c r="B21" s="28">
        <v>1</v>
      </c>
      <c r="C21" s="143" t="s">
        <v>58</v>
      </c>
      <c r="D21" s="136"/>
      <c r="E21" s="137"/>
      <c r="F21" s="23" t="s">
        <v>125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6.5" customHeight="1" x14ac:dyDescent="0.3">
      <c r="A22" s="14"/>
      <c r="B22" s="28" t="s">
        <v>24</v>
      </c>
      <c r="C22" s="167" t="s">
        <v>135</v>
      </c>
      <c r="D22" s="136"/>
      <c r="E22" s="137"/>
      <c r="F22" s="77">
        <f>'INSERÇÃO-DE-DADOS'!F41</f>
        <v>3273.71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6.5" customHeight="1" x14ac:dyDescent="0.3">
      <c r="A23" s="14"/>
      <c r="B23" s="28" t="s">
        <v>22</v>
      </c>
      <c r="C23" s="135" t="s">
        <v>134</v>
      </c>
      <c r="D23" s="136"/>
      <c r="E23" s="137"/>
      <c r="F23" s="76">
        <f>PERC_ADIC_PERIC%*SALARIO_BASE</f>
        <v>0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 x14ac:dyDescent="0.3">
      <c r="A24" s="14"/>
      <c r="B24" s="28" t="s">
        <v>20</v>
      </c>
      <c r="C24" s="139" t="s">
        <v>133</v>
      </c>
      <c r="D24" s="136"/>
      <c r="E24" s="137"/>
      <c r="F24" s="77">
        <f>PERC_ADIC_INS%*SAL_MINIMO</f>
        <v>0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6.5" customHeight="1" x14ac:dyDescent="0.3">
      <c r="A25" s="14"/>
      <c r="B25" s="28" t="s">
        <v>18</v>
      </c>
      <c r="C25" s="145" t="str">
        <f>OUTROS_REMUNERACAO_1_DESCRICAO</f>
        <v>Outras Remunerações 1 (Especificar)</v>
      </c>
      <c r="D25" s="136"/>
      <c r="E25" s="137"/>
      <c r="F25" s="76">
        <f>OUTROS_REMUNERACAO_1</f>
        <v>0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6.5" customHeight="1" x14ac:dyDescent="0.3">
      <c r="A26" s="14"/>
      <c r="B26" s="28" t="s">
        <v>16</v>
      </c>
      <c r="C26" s="167" t="str">
        <f>OUTROS_REMUNERACAO_2_DESCRICAO</f>
        <v>Outras Remunerações 2 (Especificar)</v>
      </c>
      <c r="D26" s="136"/>
      <c r="E26" s="137"/>
      <c r="F26" s="77">
        <f>OUTROS_REMUNERACAO_2</f>
        <v>0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6.5" customHeight="1" x14ac:dyDescent="0.3">
      <c r="A27" s="14"/>
      <c r="B27" s="28" t="s">
        <v>14</v>
      </c>
      <c r="C27" s="145" t="str">
        <f>OUTROS_REMUNERACAO_3_DESCRICAO</f>
        <v>Outras Remunerações 3 (Especificar)</v>
      </c>
      <c r="D27" s="136"/>
      <c r="E27" s="137"/>
      <c r="F27" s="76">
        <f>OUTROS_REMUNERACAO_3</f>
        <v>0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6.5" customHeight="1" x14ac:dyDescent="0.3">
      <c r="A28" s="14"/>
      <c r="B28" s="143" t="s">
        <v>6</v>
      </c>
      <c r="C28" s="136"/>
      <c r="D28" s="136"/>
      <c r="E28" s="137"/>
      <c r="F28" s="73">
        <f>SUM(F22:F27)</f>
        <v>3273.71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6.5" customHeight="1" x14ac:dyDescent="0.3">
      <c r="A29" s="14"/>
      <c r="B29" s="32" t="s">
        <v>103</v>
      </c>
      <c r="C29" s="14"/>
      <c r="D29" s="14"/>
      <c r="E29" s="47"/>
      <c r="F29" s="47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6.5" customHeight="1" x14ac:dyDescent="0.3">
      <c r="A30" s="14"/>
      <c r="B30" s="32" t="s">
        <v>102</v>
      </c>
      <c r="C30" s="31"/>
      <c r="D30" s="30"/>
      <c r="E30" s="29"/>
      <c r="F30" s="29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6.5" customHeight="1" x14ac:dyDescent="0.3">
      <c r="A31" s="14"/>
      <c r="B31" s="28" t="s">
        <v>101</v>
      </c>
      <c r="C31" s="138" t="s">
        <v>100</v>
      </c>
      <c r="D31" s="137"/>
      <c r="E31" s="23" t="s">
        <v>41</v>
      </c>
      <c r="F31" s="23" t="s">
        <v>125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6.5" customHeight="1" x14ac:dyDescent="0.3">
      <c r="A32" s="14"/>
      <c r="B32" s="28" t="s">
        <v>24</v>
      </c>
      <c r="C32" s="139" t="s">
        <v>99</v>
      </c>
      <c r="D32" s="137"/>
      <c r="E32" s="44">
        <f>PERC_DEC_TERC</f>
        <v>8.3333333333333321</v>
      </c>
      <c r="F32" s="51">
        <f>PERC_DEC_TERC%*'TEC MANUT SENIOR'!MOD_1_REMUNERACAO_44H</f>
        <v>272.80916666666661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6.5" customHeight="1" x14ac:dyDescent="0.3">
      <c r="A33" s="14"/>
      <c r="B33" s="23" t="s">
        <v>22</v>
      </c>
      <c r="C33" s="135" t="s">
        <v>97</v>
      </c>
      <c r="D33" s="137"/>
      <c r="E33" s="42">
        <f>PERC_ADIC_FERIAS</f>
        <v>2.7777777777777777</v>
      </c>
      <c r="F33" s="50">
        <f>PERC_ADIC_FERIAS%*'TEC MANUT SENIOR'!MOD_1_REMUNERACAO_44H</f>
        <v>90.936388888888885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6.5" customHeight="1" x14ac:dyDescent="0.3">
      <c r="A34" s="19"/>
      <c r="B34" s="138" t="s">
        <v>6</v>
      </c>
      <c r="C34" s="136"/>
      <c r="D34" s="136"/>
      <c r="E34" s="137"/>
      <c r="F34" s="71">
        <f>SUM(F32:F33)</f>
        <v>363.74555555555548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31.5" customHeight="1" x14ac:dyDescent="0.3">
      <c r="A35" s="19"/>
      <c r="B35" s="184" t="s">
        <v>95</v>
      </c>
      <c r="C35" s="141"/>
      <c r="D35" s="141"/>
      <c r="E35" s="141"/>
      <c r="F35" s="141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34.5" customHeight="1" x14ac:dyDescent="0.3">
      <c r="A36" s="19"/>
      <c r="B36" s="28" t="s">
        <v>94</v>
      </c>
      <c r="C36" s="143" t="s">
        <v>93</v>
      </c>
      <c r="D36" s="137"/>
      <c r="E36" s="23" t="s">
        <v>41</v>
      </c>
      <c r="F36" s="23" t="s">
        <v>125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6.5" customHeight="1" x14ac:dyDescent="0.3">
      <c r="A37" s="14"/>
      <c r="B37" s="28" t="s">
        <v>24</v>
      </c>
      <c r="C37" s="139" t="s">
        <v>92</v>
      </c>
      <c r="D37" s="137"/>
      <c r="E37" s="44">
        <f>PERC_INSS</f>
        <v>20</v>
      </c>
      <c r="F37" s="51">
        <f>PERC_INSS%*('TEC MANUT SENIOR'!MOD_1_REMUNERACAO_44H+SUBMOD_2_1_DEC_TERC_ADIC_FERIAS_44H)</f>
        <v>727.49111111111108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6.5" customHeight="1" x14ac:dyDescent="0.25">
      <c r="A38" s="24"/>
      <c r="B38" s="23" t="s">
        <v>22</v>
      </c>
      <c r="C38" s="135" t="s">
        <v>91</v>
      </c>
      <c r="D38" s="137"/>
      <c r="E38" s="43">
        <f>PERC_SAL_EDUCACAO</f>
        <v>2.5</v>
      </c>
      <c r="F38" s="50">
        <f>PERC_SAL_EDUCACAO%*('TEC MANUT SENIOR'!MOD_1_REMUNERACAO_44H+SUBMOD_2_1_DEC_TERC_ADIC_FERIAS_44H)</f>
        <v>90.936388888888885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6.5" customHeight="1" x14ac:dyDescent="0.25">
      <c r="A39" s="24"/>
      <c r="B39" s="23" t="s">
        <v>20</v>
      </c>
      <c r="C39" s="139" t="s">
        <v>90</v>
      </c>
      <c r="D39" s="137"/>
      <c r="E39" s="44">
        <f>PERC_RAT</f>
        <v>6</v>
      </c>
      <c r="F39" s="51">
        <f>PERC_RAT%*('TEC MANUT SENIOR'!MOD_1_REMUNERACAO_44H+SUBMOD_2_1_DEC_TERC_ADIC_FERIAS_44H)</f>
        <v>218.2473333333333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6.5" customHeight="1" x14ac:dyDescent="0.25">
      <c r="A40" s="24"/>
      <c r="B40" s="23" t="s">
        <v>18</v>
      </c>
      <c r="C40" s="135" t="s">
        <v>89</v>
      </c>
      <c r="D40" s="137"/>
      <c r="E40" s="42">
        <f>PERC_SESC</f>
        <v>1.5</v>
      </c>
      <c r="F40" s="50">
        <f>PERC_SESC%*('TEC MANUT SENIOR'!MOD_1_REMUNERACAO_44H+SUBMOD_2_1_DEC_TERC_ADIC_FERIAS_44H)</f>
        <v>54.561833333333325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6.5" customHeight="1" x14ac:dyDescent="0.25">
      <c r="A41" s="24"/>
      <c r="B41" s="23" t="s">
        <v>16</v>
      </c>
      <c r="C41" s="139" t="s">
        <v>88</v>
      </c>
      <c r="D41" s="137"/>
      <c r="E41" s="44">
        <f>PERC_SENAC</f>
        <v>1</v>
      </c>
      <c r="F41" s="51">
        <f>PERC_SENAC%*('TEC MANUT SENIOR'!MOD_1_REMUNERACAO_44H+SUBMOD_2_1_DEC_TERC_ADIC_FERIAS_44H)</f>
        <v>36.374555555555553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6.5" customHeight="1" x14ac:dyDescent="0.25">
      <c r="A42" s="24"/>
      <c r="B42" s="23" t="s">
        <v>14</v>
      </c>
      <c r="C42" s="135" t="s">
        <v>87</v>
      </c>
      <c r="D42" s="137"/>
      <c r="E42" s="43">
        <f>PERC_SEBRAE</f>
        <v>0.6</v>
      </c>
      <c r="F42" s="50">
        <f>PERC_SEBRAE%*('TEC MANUT SENIOR'!MOD_1_REMUNERACAO_44H+SUBMOD_2_1_DEC_TERC_ADIC_FERIAS_44H)</f>
        <v>21.824733333333331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6.5" customHeight="1" x14ac:dyDescent="0.25">
      <c r="A43" s="24"/>
      <c r="B43" s="23" t="s">
        <v>12</v>
      </c>
      <c r="C43" s="139" t="s">
        <v>86</v>
      </c>
      <c r="D43" s="137"/>
      <c r="E43" s="44">
        <f>PERC_INCRA</f>
        <v>0.2</v>
      </c>
      <c r="F43" s="51">
        <f>PERC_INCRA%*('TEC MANUT SENIOR'!MOD_1_REMUNERACAO_44H+SUBMOD_2_1_DEC_TERC_ADIC_FERIAS_44H)</f>
        <v>7.2749111111111109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6.5" customHeight="1" x14ac:dyDescent="0.3">
      <c r="A44" s="14"/>
      <c r="B44" s="23" t="s">
        <v>10</v>
      </c>
      <c r="C44" s="135" t="s">
        <v>85</v>
      </c>
      <c r="D44" s="137"/>
      <c r="E44" s="43">
        <f>PERC_FGTS</f>
        <v>8</v>
      </c>
      <c r="F44" s="50">
        <f>PERC_FGTS%*('TEC MANUT SENIOR'!MOD_1_REMUNERACAO_44H+SUBMOD_2_1_DEC_TERC_ADIC_FERIAS_44H)</f>
        <v>290.99644444444442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6.5" customHeight="1" x14ac:dyDescent="0.3">
      <c r="A45" s="14"/>
      <c r="B45" s="138" t="s">
        <v>6</v>
      </c>
      <c r="C45" s="136"/>
      <c r="D45" s="136"/>
      <c r="E45" s="137"/>
      <c r="F45" s="75">
        <f>SUM(F37:F44)</f>
        <v>1447.7073111111113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3">
      <c r="A46" s="14"/>
      <c r="B46" s="32" t="s">
        <v>45</v>
      </c>
      <c r="C46" s="24"/>
      <c r="D46" s="24"/>
      <c r="E46" s="24"/>
      <c r="F46" s="2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3">
      <c r="A47" s="14"/>
      <c r="B47" s="28" t="s">
        <v>44</v>
      </c>
      <c r="C47" s="143" t="s">
        <v>43</v>
      </c>
      <c r="D47" s="136"/>
      <c r="E47" s="137"/>
      <c r="F47" s="23" t="s">
        <v>125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6.5" customHeight="1" x14ac:dyDescent="0.3">
      <c r="A48" s="14"/>
      <c r="B48" s="74" t="s">
        <v>24</v>
      </c>
      <c r="C48" s="139" t="s">
        <v>132</v>
      </c>
      <c r="D48" s="136"/>
      <c r="E48" s="137"/>
      <c r="F48" s="51">
        <f>IF(((TRANSPORTE_POR_DIA*DIAS_UTEIS_TRABALHADOS_NO_MES_44HORAS)-(PERC_DESC_TRANSP_REMUNERACAO%*('TEC MANUT SENIOR'!AL_1_A_SAL_BASE_44H)))&gt;0,((TRANSPORTE_POR_DIA*DIAS_UTEIS_TRABALHADOS_NO_MES_44HORAS)-(PERC_DESC_TRANSP_REMUNERACAO%*('TEC MANUT SENIOR'!AL_1_A_SAL_BASE_44H))),0)</f>
        <v>34.577400000000011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6.5" customHeight="1" x14ac:dyDescent="0.3">
      <c r="A49" s="19"/>
      <c r="B49" s="74" t="s">
        <v>22</v>
      </c>
      <c r="C49" s="135" t="s">
        <v>131</v>
      </c>
      <c r="D49" s="136"/>
      <c r="E49" s="137"/>
      <c r="F49" s="50">
        <f>IF(AND(ADESAO_AO_PAT="Sim",PERC_PAT&lt;&gt;""),ALIMENTACAO_POR_DIA*DIAS_UTEIS_TRABALHADOS_NO_MES_44HORAS*(100-PERC_PAT)%,IF(AND(ADESAO_AO_PAT="Sim",PERC_PAT=""),"Insira o % do PAT",ALIMENTACAO_POR_DIA*DIAS_UTEIS_TRABALHADOS_NO_MES_44HORAS))</f>
        <v>819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6.5" customHeight="1" x14ac:dyDescent="0.3">
      <c r="A50" s="19"/>
      <c r="B50" s="74" t="s">
        <v>20</v>
      </c>
      <c r="C50" s="167" t="str">
        <f>OUTROS_BENEFICIOS_1_DESCRICAO</f>
        <v>Outros Benefícios 1 (Auxilio creche - 20% x 526,64)</v>
      </c>
      <c r="D50" s="136"/>
      <c r="E50" s="137"/>
      <c r="F50" s="51">
        <f>OUTROS_BENEFICIOS_1</f>
        <v>105.328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6.5" customHeight="1" x14ac:dyDescent="0.3">
      <c r="A51" s="19"/>
      <c r="B51" s="74" t="s">
        <v>18</v>
      </c>
      <c r="C51" s="145" t="str">
        <f>OUTROS_BENEFICIOS_2_DESCRICAO</f>
        <v>Outros Benefícios 2 (Especificar)</v>
      </c>
      <c r="D51" s="136"/>
      <c r="E51" s="137"/>
      <c r="F51" s="50">
        <f>OUTROS_BENEFICIOS_2</f>
        <v>0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6.5" customHeight="1" x14ac:dyDescent="0.3">
      <c r="A52" s="19"/>
      <c r="B52" s="74" t="s">
        <v>16</v>
      </c>
      <c r="C52" s="167" t="str">
        <f>OUTROS_BENEFICIOS_3_DESCRICAO</f>
        <v>Outros Benefícios 3 (Especificar)</v>
      </c>
      <c r="D52" s="136"/>
      <c r="E52" s="137"/>
      <c r="F52" s="51">
        <f>OUTROS_BENEFICIOS_3</f>
        <v>0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5" customHeight="1" x14ac:dyDescent="0.3">
      <c r="A53" s="19"/>
      <c r="B53" s="143" t="s">
        <v>6</v>
      </c>
      <c r="C53" s="136"/>
      <c r="D53" s="136"/>
      <c r="E53" s="137"/>
      <c r="F53" s="73">
        <f>SUM(F48:F52)</f>
        <v>958.90539999999999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6.5" customHeight="1" x14ac:dyDescent="0.3">
      <c r="A54" s="19"/>
      <c r="B54" s="32" t="s">
        <v>36</v>
      </c>
      <c r="C54" s="31"/>
      <c r="D54" s="30"/>
      <c r="E54" s="29"/>
      <c r="F54" s="2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5" customHeight="1" x14ac:dyDescent="0.3">
      <c r="A55" s="19"/>
      <c r="B55" s="28">
        <v>3</v>
      </c>
      <c r="C55" s="138" t="s">
        <v>35</v>
      </c>
      <c r="D55" s="137"/>
      <c r="E55" s="23" t="s">
        <v>41</v>
      </c>
      <c r="F55" s="23" t="s">
        <v>125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6.5" customHeight="1" x14ac:dyDescent="0.3">
      <c r="A56" s="19"/>
      <c r="B56" s="28" t="s">
        <v>24</v>
      </c>
      <c r="C56" s="148" t="s">
        <v>84</v>
      </c>
      <c r="D56" s="137"/>
      <c r="E56" s="44">
        <f>PERC_AVISO_PREVIO_IND</f>
        <v>0.29105124999999998</v>
      </c>
      <c r="F56" s="51">
        <f>PERC_AVISO_PREVIO_IND%*('TEC MANUT SENIOR'!MOD_1_REMUNERACAO_44H+SUBMOD_2_1_DEC_TERC_ADIC_FERIAS_44H)</f>
        <v>10.586859862638887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6.5" customHeight="1" x14ac:dyDescent="0.3">
      <c r="A57" s="19"/>
      <c r="B57" s="23" t="s">
        <v>22</v>
      </c>
      <c r="C57" s="142" t="s">
        <v>82</v>
      </c>
      <c r="D57" s="137"/>
      <c r="E57" s="43">
        <f>INCID_FGTS_SOBRE_API</f>
        <v>2.3284099999999999E-2</v>
      </c>
      <c r="F57" s="50">
        <f>INCID_FGTS_SOBRE_API%*('TEC MANUT SENIOR'!MOD_1_REMUNERACAO_44H+SUBMOD_2_1_DEC_TERC_ADIC_FERIAS_44H)</f>
        <v>0.84694878901111104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6.5" customHeight="1" x14ac:dyDescent="0.25">
      <c r="A58" s="24"/>
      <c r="B58" s="23" t="s">
        <v>20</v>
      </c>
      <c r="C58" s="148" t="s">
        <v>80</v>
      </c>
      <c r="D58" s="137"/>
      <c r="E58" s="44">
        <f>PERC_MULTA_FGTS_AV_PREV_IND</f>
        <v>0.11176368</v>
      </c>
      <c r="F58" s="51">
        <f>PERC_MULTA_FGTS_AV_PREV_IND%*('TEC MANUT SENIOR'!MOD_1_REMUNERACAO_44H+SUBMOD_2_1_DEC_TERC_ADIC_FERIAS_44H)</f>
        <v>4.065354187253333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6.5" customHeight="1" x14ac:dyDescent="0.25">
      <c r="A59" s="24"/>
      <c r="B59" s="23" t="s">
        <v>18</v>
      </c>
      <c r="C59" s="142" t="s">
        <v>78</v>
      </c>
      <c r="D59" s="137"/>
      <c r="E59" s="43">
        <f>PERC_AVISO_PREVIO_TRAB</f>
        <v>1.1557269305555555</v>
      </c>
      <c r="F59" s="50">
        <f>PERC_AVISO_PREVIO_TRAB%*('TEC MANUT SENIOR'!MOD_1_REMUNERACAO_44H+SUBMOD_2_1_DEC_TERC_ADIC_FERIAS_44H)</f>
        <v>42.039053442544748</v>
      </c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6.5" customHeight="1" x14ac:dyDescent="0.25">
      <c r="A60" s="24"/>
      <c r="B60" s="23" t="s">
        <v>16</v>
      </c>
      <c r="C60" s="148" t="s">
        <v>76</v>
      </c>
      <c r="D60" s="137"/>
      <c r="E60" s="44">
        <f>INCID_SUBMOD_2_2_APT</f>
        <v>0.45997931836111106</v>
      </c>
      <c r="F60" s="51">
        <f>INCID_SUBMOD_2_2_APT%*('TEC MANUT SENIOR'!MOD_1_REMUNERACAO_44H+SUBMOD_2_1_DEC_TERC_ADIC_FERIAS_44H)</f>
        <v>16.731543270132807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6.5" customHeight="1" x14ac:dyDescent="0.25">
      <c r="A61" s="24"/>
      <c r="B61" s="23" t="s">
        <v>14</v>
      </c>
      <c r="C61" s="142" t="s">
        <v>74</v>
      </c>
      <c r="D61" s="137"/>
      <c r="E61" s="43">
        <f>PERC_MULTA_FGTS_AV_PREV_TRAB</f>
        <v>1.9019963200000001</v>
      </c>
      <c r="F61" s="50">
        <f>PERC_MULTA_FGTS_AV_PREV_TRAB%*('TEC MANUT SENIOR'!MOD_1_REMUNERACAO_44H+SUBMOD_2_1_DEC_TERC_ADIC_FERIAS_44H)</f>
        <v>69.184270808302216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6.5" customHeight="1" x14ac:dyDescent="0.3">
      <c r="A62" s="24"/>
      <c r="B62" s="138" t="s">
        <v>6</v>
      </c>
      <c r="C62" s="136"/>
      <c r="D62" s="136"/>
      <c r="E62" s="137"/>
      <c r="F62" s="71">
        <f>SUM(F56:F61)</f>
        <v>143.45403035988312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7.5" customHeight="1" x14ac:dyDescent="0.3">
      <c r="A63" s="14"/>
      <c r="B63" s="64"/>
      <c r="C63" s="14"/>
      <c r="D63" s="63"/>
      <c r="E63" s="40"/>
      <c r="F63" s="40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3">
      <c r="A64" s="24"/>
      <c r="B64" s="32" t="s">
        <v>29</v>
      </c>
      <c r="C64" s="31"/>
      <c r="D64" s="30"/>
      <c r="E64" s="14"/>
      <c r="F64" s="1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">
      <c r="A65" s="24"/>
      <c r="B65" s="32" t="s">
        <v>28</v>
      </c>
      <c r="C65" s="31"/>
      <c r="D65" s="30"/>
      <c r="E65" s="29"/>
      <c r="F65" s="29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6.5" customHeight="1" x14ac:dyDescent="0.25">
      <c r="A66" s="24"/>
      <c r="B66" s="28" t="s">
        <v>27</v>
      </c>
      <c r="C66" s="143" t="s">
        <v>26</v>
      </c>
      <c r="D66" s="137"/>
      <c r="E66" s="23" t="s">
        <v>41</v>
      </c>
      <c r="F66" s="23" t="s">
        <v>125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25">
      <c r="A67" s="24"/>
      <c r="B67" s="23" t="s">
        <v>24</v>
      </c>
      <c r="C67" s="139" t="s">
        <v>71</v>
      </c>
      <c r="D67" s="137"/>
      <c r="E67" s="44">
        <f>PERC_SUBSTITUTO_FERIAS</f>
        <v>8.3333333333333321</v>
      </c>
      <c r="F67" s="51">
        <f>PERC_SUBSTITUTO_FERIAS%*('TEC MANUT SENIOR'!MOD_1_REMUNERACAO_44H+'TEC MANUT SENIOR'!MOD_2_ENCARGOS_BENEFICIOS_44H)</f>
        <v>503.6723555555555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25">
      <c r="A68" s="24"/>
      <c r="B68" s="23" t="s">
        <v>22</v>
      </c>
      <c r="C68" s="135" t="s">
        <v>69</v>
      </c>
      <c r="D68" s="137"/>
      <c r="E68" s="43">
        <f>PERC_SUBSTITUTO_AUSENCIAS_LEGAIS</f>
        <v>2.2222222222222223</v>
      </c>
      <c r="F68" s="50">
        <f>PERC_SUBSTITUTO_AUSENCIAS_LEGAIS%*('TEC MANUT SENIOR'!MOD_1_REMUNERACAO_44H+'TEC MANUT SENIOR'!MOD_2_ENCARGOS_BENEFICIOS_44H)</f>
        <v>134.31262814814815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25">
      <c r="A69" s="24"/>
      <c r="B69" s="23" t="s">
        <v>20</v>
      </c>
      <c r="C69" s="139" t="s">
        <v>67</v>
      </c>
      <c r="D69" s="137"/>
      <c r="E69" s="44">
        <f>PERC_SUBSTITUTO_LICENCA_PATERNIDADE</f>
        <v>1.7051833333333329E-2</v>
      </c>
      <c r="F69" s="51">
        <f>PERC_SUBSTITUTO_LICENCA_PATERNIDADE%*('TEC MANUT SENIOR'!MOD_1_REMUNERACAO_44H+'TEC MANUT SENIOR'!MOD_2_ENCARGOS_BENEFICIOS_44H)</f>
        <v>1.0306244473848887</v>
      </c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6.5" customHeight="1" x14ac:dyDescent="0.25">
      <c r="A70" s="24"/>
      <c r="B70" s="23" t="s">
        <v>18</v>
      </c>
      <c r="C70" s="135" t="s">
        <v>65</v>
      </c>
      <c r="D70" s="137"/>
      <c r="E70" s="43">
        <f>PERC_SUBSTITUTO_ACID_TRAB</f>
        <v>1.85302229372558E-2</v>
      </c>
      <c r="F70" s="50">
        <f>PERC_SUBSTITUTO_ACID_TRAB%*('TEC MANUT SENIOR'!MOD_1_REMUNERACAO_44H+'TEC MANUT SENIOR'!MOD_2_ENCARGOS_BENEFICIOS_44H)</f>
        <v>1.1199793242932656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6.5" customHeight="1" x14ac:dyDescent="0.25">
      <c r="A71" s="24"/>
      <c r="B71" s="23" t="s">
        <v>16</v>
      </c>
      <c r="C71" s="139" t="s">
        <v>63</v>
      </c>
      <c r="D71" s="137"/>
      <c r="E71" s="44">
        <f>PERC_SUBSTITUTO_AFAST_MATERN</f>
        <v>2.5507554666666658E-2</v>
      </c>
      <c r="F71" s="51">
        <f>PERC_SUBSTITUTO_AFAST_MATERN%*('TEC MANUT SENIOR'!MOD_1_REMUNERACAO_44H+'TEC MANUT SENIOR'!MOD_2_ENCARGOS_BENEFICIOS_44H)</f>
        <v>1.5416940172106521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6.5" customHeight="1" x14ac:dyDescent="0.25">
      <c r="A72" s="24"/>
      <c r="B72" s="23" t="s">
        <v>14</v>
      </c>
      <c r="C72" s="147" t="str">
        <f>OUTRAS_AUSENCIAS_DESCRICAO</f>
        <v>Outras Ausências (Especificar em %)</v>
      </c>
      <c r="D72" s="137"/>
      <c r="E72" s="72">
        <f>PERC_SUBSTITUTO_OUTRAS_AUSENCIAS</f>
        <v>0</v>
      </c>
      <c r="F72" s="50">
        <f>PERC_SUBSTITUTO_OUTRAS_AUSENCIAS%*('TEC MANUT SENIOR'!MOD_1_REMUNERACAO_44H+'TEC MANUT SENIOR'!MOD_2_ENCARGOS_BENEFICIOS_44H)</f>
        <v>0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6.5" customHeight="1" x14ac:dyDescent="0.3">
      <c r="A73" s="24"/>
      <c r="B73" s="138" t="s">
        <v>6</v>
      </c>
      <c r="C73" s="136"/>
      <c r="D73" s="136"/>
      <c r="E73" s="137"/>
      <c r="F73" s="71">
        <f>SUM(F67:F72)</f>
        <v>641.67728149259233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7.5" customHeight="1" x14ac:dyDescent="0.3">
      <c r="A74" s="14"/>
      <c r="B74" s="64"/>
      <c r="C74" s="14"/>
      <c r="D74" s="63"/>
      <c r="E74" s="40"/>
      <c r="F74" s="40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6.5" customHeight="1" x14ac:dyDescent="0.3">
      <c r="A75" s="14"/>
      <c r="B75" s="32" t="s">
        <v>130</v>
      </c>
      <c r="C75" s="31"/>
      <c r="D75" s="31"/>
      <c r="E75" s="29"/>
      <c r="F75" s="29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3">
      <c r="A76" s="14"/>
      <c r="B76" s="70">
        <v>5</v>
      </c>
      <c r="C76" s="163" t="s">
        <v>109</v>
      </c>
      <c r="D76" s="164"/>
      <c r="E76" s="165"/>
      <c r="F76" s="69" t="s">
        <v>125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6.5" customHeight="1" x14ac:dyDescent="0.3">
      <c r="A77" s="14"/>
      <c r="B77" s="67" t="s">
        <v>24</v>
      </c>
      <c r="C77" s="166" t="s">
        <v>129</v>
      </c>
      <c r="D77" s="164"/>
      <c r="E77" s="165"/>
      <c r="F77" s="68">
        <f>UNIFORMES</f>
        <v>0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6.5" customHeight="1" x14ac:dyDescent="0.3">
      <c r="A78" s="14"/>
      <c r="B78" s="67" t="s">
        <v>22</v>
      </c>
      <c r="C78" s="181" t="s">
        <v>128</v>
      </c>
      <c r="D78" s="164"/>
      <c r="E78" s="165"/>
      <c r="F78" s="66">
        <f>MATERIAIS</f>
        <v>0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6.5" customHeight="1" x14ac:dyDescent="0.3">
      <c r="A79" s="14"/>
      <c r="B79" s="67" t="s">
        <v>20</v>
      </c>
      <c r="C79" s="166" t="s">
        <v>127</v>
      </c>
      <c r="D79" s="164"/>
      <c r="E79" s="165"/>
      <c r="F79" s="68">
        <f>EQUIPAMENTOS</f>
        <v>0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6.5" customHeight="1" x14ac:dyDescent="0.3">
      <c r="A80" s="14"/>
      <c r="B80" s="67" t="s">
        <v>18</v>
      </c>
      <c r="C80" s="183" t="str">
        <f>OUTROS_INSUMOS_DESCRICAO</f>
        <v>EPI</v>
      </c>
      <c r="D80" s="164"/>
      <c r="E80" s="165"/>
      <c r="F80" s="66">
        <f>OUTROS_INSUMOS</f>
        <v>0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6.5" customHeight="1" x14ac:dyDescent="0.3">
      <c r="A81" s="14"/>
      <c r="B81" s="163" t="s">
        <v>6</v>
      </c>
      <c r="C81" s="164"/>
      <c r="D81" s="164"/>
      <c r="E81" s="165"/>
      <c r="F81" s="65">
        <f>SUM(F77:F80)</f>
        <v>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7.5" customHeight="1" x14ac:dyDescent="0.3">
      <c r="A82" s="14"/>
      <c r="B82" s="64"/>
      <c r="C82" s="14"/>
      <c r="D82" s="63"/>
      <c r="E82" s="40"/>
      <c r="F82" s="40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" customHeight="1" x14ac:dyDescent="0.3">
      <c r="A83" s="14"/>
      <c r="B83" s="182" t="s">
        <v>126</v>
      </c>
      <c r="C83" s="141"/>
      <c r="D83" s="141"/>
      <c r="E83" s="141"/>
      <c r="F83" s="141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6.5" customHeight="1" x14ac:dyDescent="0.3">
      <c r="A84" s="14"/>
      <c r="B84" s="28">
        <v>6</v>
      </c>
      <c r="C84" s="138" t="s">
        <v>108</v>
      </c>
      <c r="D84" s="137"/>
      <c r="E84" s="23" t="s">
        <v>41</v>
      </c>
      <c r="F84" s="23" t="s">
        <v>125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6.5" customHeight="1" x14ac:dyDescent="0.3">
      <c r="A85" s="14"/>
      <c r="B85" s="28" t="s">
        <v>24</v>
      </c>
      <c r="C85" s="139" t="s">
        <v>124</v>
      </c>
      <c r="D85" s="137"/>
      <c r="E85" s="61">
        <f>PERC_CUSTOS_INDIRETOS</f>
        <v>4.7300000000000004</v>
      </c>
      <c r="F85" s="51">
        <f>PERC_CUSTOS_INDIRETOS%*('TEC MANUT SENIOR'!MOD_1_REMUNERACAO_44H+'TEC MANUT SENIOR'!MOD_2_ENCARGOS_BENEFICIOS_44H+'TEC MANUT SENIOR'!MOD_3_PROVISAO_RESCISAO_44H+'TEC MANUT SENIOR'!MOD_4_CUSTO_REPOSICAO_44H+'TEC MANUT SENIOR'!MOD_5_INSUMOS_44H)</f>
        <v>323.0211400639555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3">
      <c r="A86" s="14"/>
      <c r="B86" s="23" t="s">
        <v>22</v>
      </c>
      <c r="C86" s="135" t="s">
        <v>123</v>
      </c>
      <c r="D86" s="137"/>
      <c r="E86" s="62">
        <f>PERC_LUCRO</f>
        <v>5.57</v>
      </c>
      <c r="F86" s="50">
        <f>PERC_LUCRO%*('TEC MANUT SENIOR'!MOD_1_REMUNERACAO_44H+'TEC MANUT SENIOR'!MOD_2_ENCARGOS_BENEFICIOS_44H+'TEC MANUT SENIOR'!MOD_3_PROVISAO_RESCISAO_44H+'TEC MANUT SENIOR'!MOD_4_CUSTO_REPOSICAO_44H+'TEC MANUT SENIOR'!MOD_5_INSUMOS_44H+'TEC MANUT SENIOR'!AL_6_A_CUSTOS_INDIRETOS_44H)</f>
        <v>398.37869402507857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6.5" customHeight="1" x14ac:dyDescent="0.3">
      <c r="A87" s="14"/>
      <c r="B87" s="23" t="s">
        <v>20</v>
      </c>
      <c r="C87" s="139" t="s">
        <v>122</v>
      </c>
      <c r="D87" s="137"/>
      <c r="E87" s="61">
        <f>SUM(E88:E90)</f>
        <v>8.65</v>
      </c>
      <c r="F87" s="51">
        <f>SUM(F88:F90)</f>
        <v>714.97192029623136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3">
      <c r="A88" s="14"/>
      <c r="B88" s="58" t="s">
        <v>121</v>
      </c>
      <c r="C88" s="194" t="s">
        <v>120</v>
      </c>
      <c r="D88" s="137"/>
      <c r="E88" s="57">
        <f>PERC_PIS</f>
        <v>0.65</v>
      </c>
      <c r="F88" s="56">
        <f>(('TEC MANUT SENIOR'!MOD_1_REMUNERACAO_44H+'TEC MANUT SENIOR'!MOD_2_ENCARGOS_BENEFICIOS_44H+'TEC MANUT SENIOR'!MOD_3_PROVISAO_RESCISAO_44H+'TEC MANUT SENIOR'!MOD_4_CUSTO_REPOSICAO_44H+'TEC MANUT SENIOR'!MOD_5_INSUMOS_44H+'TEC MANUT SENIOR'!AL_6_A_CUSTOS_INDIRETOS_44H+'TEC MANUT SENIOR'!AL_6_B_LUCRO_44H)*PERC_PIS%)/(1-'TEC MANUT SENIOR'!PERC_TRIBUTOS%)</f>
        <v>53.72621366387866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6.5" customHeight="1" x14ac:dyDescent="0.3">
      <c r="A89" s="14"/>
      <c r="B89" s="58" t="s">
        <v>119</v>
      </c>
      <c r="C89" s="195" t="s">
        <v>118</v>
      </c>
      <c r="D89" s="137"/>
      <c r="E89" s="60">
        <f>PERC_COFINS</f>
        <v>3</v>
      </c>
      <c r="F89" s="59">
        <f>(('TEC MANUT SENIOR'!MOD_1_REMUNERACAO_44H+'TEC MANUT SENIOR'!MOD_2_ENCARGOS_BENEFICIOS_44H+'TEC MANUT SENIOR'!MOD_3_PROVISAO_RESCISAO_44H+'TEC MANUT SENIOR'!MOD_4_CUSTO_REPOSICAO_44H+'TEC MANUT SENIOR'!MOD_5_INSUMOS_44H+'TEC MANUT SENIOR'!AL_6_A_CUSTOS_INDIRETOS_44H+'TEC MANUT SENIOR'!AL_6_B_LUCRO_44H)*PERC_COFINS%)/(1-'TEC MANUT SENIOR'!PERC_TRIBUTOS%)</f>
        <v>247.96713998713224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6.5" customHeight="1" x14ac:dyDescent="0.3">
      <c r="A90" s="52"/>
      <c r="B90" s="58" t="s">
        <v>117</v>
      </c>
      <c r="C90" s="194" t="s">
        <v>116</v>
      </c>
      <c r="D90" s="137"/>
      <c r="E90" s="57">
        <f>PERC_ISS</f>
        <v>5</v>
      </c>
      <c r="F90" s="56">
        <f>(('TEC MANUT SENIOR'!MOD_1_REMUNERACAO_44H+'TEC MANUT SENIOR'!MOD_2_ENCARGOS_BENEFICIOS_44H+'TEC MANUT SENIOR'!MOD_3_PROVISAO_RESCISAO_44H+'TEC MANUT SENIOR'!MOD_4_CUSTO_REPOSICAO_44H+'TEC MANUT SENIOR'!MOD_5_INSUMOS_44H+'TEC MANUT SENIOR'!AL_6_A_CUSTOS_INDIRETOS_44H+'TEC MANUT SENIOR'!AL_6_B_LUCRO_44H)*PERC_ISS%)/(1-'TEC MANUT SENIOR'!PERC_TRIBUTOS%)</f>
        <v>413.27856664522045</v>
      </c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6.5" customHeight="1" x14ac:dyDescent="0.3">
      <c r="A91" s="52"/>
      <c r="B91" s="138" t="s">
        <v>6</v>
      </c>
      <c r="C91" s="136"/>
      <c r="D91" s="136"/>
      <c r="E91" s="137"/>
      <c r="F91" s="48">
        <f>'TEC MANUT SENIOR'!AL_6_A_CUSTOS_INDIRETOS_44H+'TEC MANUT SENIOR'!AL_6_B_LUCRO_44H+'TEC MANUT SENIOR'!AL_6_C_TRIBUTOS_44H</f>
        <v>1436.3717543852654</v>
      </c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6.5" customHeight="1" x14ac:dyDescent="0.3">
      <c r="A92" s="52"/>
      <c r="B92" s="55" t="s">
        <v>115</v>
      </c>
      <c r="C92" s="15"/>
      <c r="D92" s="15"/>
      <c r="E92" s="15"/>
      <c r="F92" s="54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6.5" customHeight="1" x14ac:dyDescent="0.3">
      <c r="A93" s="53"/>
      <c r="B93" s="23" t="s">
        <v>114</v>
      </c>
      <c r="C93" s="143" t="s">
        <v>113</v>
      </c>
      <c r="D93" s="136"/>
      <c r="E93" s="137"/>
      <c r="F93" s="23" t="s">
        <v>112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6.5" customHeight="1" x14ac:dyDescent="0.3">
      <c r="A94" s="52"/>
      <c r="B94" s="28">
        <v>1</v>
      </c>
      <c r="C94" s="139" t="s">
        <v>58</v>
      </c>
      <c r="D94" s="136"/>
      <c r="E94" s="137"/>
      <c r="F94" s="51">
        <f>'TEC MANUT SENIOR'!MOD_1_REMUNERACAO_44H</f>
        <v>3273.71</v>
      </c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6.5" customHeight="1" x14ac:dyDescent="0.3">
      <c r="A95" s="49"/>
      <c r="B95" s="23">
        <v>2</v>
      </c>
      <c r="C95" s="135" t="s">
        <v>111</v>
      </c>
      <c r="D95" s="136"/>
      <c r="E95" s="137"/>
      <c r="F95" s="50">
        <f>'TEC MANUT SENIOR'!MOD_2_ENCARGOS_BENEFICIOS_44H</f>
        <v>2770.3582666666666</v>
      </c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6.5" customHeight="1" x14ac:dyDescent="0.3">
      <c r="A96" s="49"/>
      <c r="B96" s="23">
        <v>3</v>
      </c>
      <c r="C96" s="139" t="s">
        <v>35</v>
      </c>
      <c r="D96" s="136"/>
      <c r="E96" s="137"/>
      <c r="F96" s="51">
        <f>'TEC MANUT SENIOR'!MOD_3_PROVISAO_RESCISAO_44H</f>
        <v>143.45403035988312</v>
      </c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6.5" customHeight="1" x14ac:dyDescent="0.3">
      <c r="A97" s="49"/>
      <c r="B97" s="23">
        <v>4</v>
      </c>
      <c r="C97" s="135" t="s">
        <v>110</v>
      </c>
      <c r="D97" s="136"/>
      <c r="E97" s="137"/>
      <c r="F97" s="50">
        <f>'TEC MANUT SENIOR'!MOD_4_CUSTO_REPOSICAO_44H</f>
        <v>641.67728149259233</v>
      </c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6.5" customHeight="1" x14ac:dyDescent="0.3">
      <c r="A98" s="49"/>
      <c r="B98" s="23">
        <v>5</v>
      </c>
      <c r="C98" s="139" t="s">
        <v>109</v>
      </c>
      <c r="D98" s="136"/>
      <c r="E98" s="137"/>
      <c r="F98" s="51">
        <f>'TEC MANUT SENIOR'!MOD_5_INSUMOS_44H</f>
        <v>0</v>
      </c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6.5" customHeight="1" x14ac:dyDescent="0.3">
      <c r="A99" s="49"/>
      <c r="B99" s="23">
        <v>6</v>
      </c>
      <c r="C99" s="135" t="s">
        <v>108</v>
      </c>
      <c r="D99" s="136"/>
      <c r="E99" s="137"/>
      <c r="F99" s="50">
        <f>'TEC MANUT SENIOR'!MOD_6_CUSTOS_IND_LUCRO_TRIB_44H</f>
        <v>1436.3717543852654</v>
      </c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6.5" customHeight="1" x14ac:dyDescent="0.3">
      <c r="A100" s="14"/>
      <c r="B100" s="143" t="s">
        <v>107</v>
      </c>
      <c r="C100" s="136"/>
      <c r="D100" s="136"/>
      <c r="E100" s="137"/>
      <c r="F100" s="48">
        <f>SUM(F94:F99)</f>
        <v>8265.5713329044083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6.5" customHeight="1" x14ac:dyDescent="0.3">
      <c r="A101" s="14"/>
      <c r="B101" s="143" t="s">
        <v>106</v>
      </c>
      <c r="C101" s="136"/>
      <c r="D101" s="136"/>
      <c r="E101" s="137"/>
      <c r="F101" s="48">
        <f>VALOR_TOTAL_EMPREGADO_44H*'INSERÇÃO-DE-DADOS'!E21</f>
        <v>16531.142665808817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6.5" customHeight="1" x14ac:dyDescent="0.3">
      <c r="A102" s="14"/>
      <c r="B102" s="143" t="s">
        <v>105</v>
      </c>
      <c r="C102" s="136"/>
      <c r="D102" s="136"/>
      <c r="E102" s="137"/>
      <c r="F102" s="48">
        <f>VALOR_TOTAL_POSTO_44H</f>
        <v>16531.142665808817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6.5" customHeight="1" x14ac:dyDescent="0.3">
      <c r="A103" s="14"/>
      <c r="B103" s="14"/>
      <c r="C103" s="14"/>
      <c r="D103" s="14"/>
      <c r="E103" s="14"/>
      <c r="F103" s="14"/>
      <c r="G103" s="14"/>
      <c r="H103" s="126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6.5" customHeight="1" x14ac:dyDescent="0.3">
      <c r="A104" s="14"/>
      <c r="B104" s="14" t="s">
        <v>61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6.5" customHeight="1" x14ac:dyDescent="0.3">
      <c r="A105" s="14"/>
      <c r="B105" s="14"/>
      <c r="C105" s="14"/>
      <c r="D105" s="14"/>
      <c r="E105" s="14"/>
      <c r="F105" s="14"/>
      <c r="G105" s="14"/>
      <c r="H105" s="126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6.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6.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6.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6.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6.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6.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6.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6.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6.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6.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6.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6.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6.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6.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6.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6.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6.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6.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6.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6.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6.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6.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6.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6.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6.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6.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6.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6.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6.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6.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6.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6.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6.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6.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6.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6.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6.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6.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6.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6.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6.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6.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6.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6.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6.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6.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6.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6.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6.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6.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6.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6.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6.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6.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6.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6.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6.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6.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6.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6.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6.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6.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6.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6.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6.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6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6.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6.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6.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6.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6.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6.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6.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6.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6.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6.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6.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6.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6.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6.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6.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6.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6.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6.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6.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6.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6.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6.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6.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6.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6.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6.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6.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6.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6.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6.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6.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6.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6.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6.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6.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6.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6.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6.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6.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6.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6.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6.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6.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6.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6.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6.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6.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6.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6.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6.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6.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6.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6.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6.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6.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6.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6.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6.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6.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6.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6.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6.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6.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6.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6.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6.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6.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6.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6.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6.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6.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6.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6.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6.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6.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6.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6.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6.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6.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6.5" customHeight="1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6.5" customHeight="1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6.5" customHeight="1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6.5" customHeight="1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6.5" customHeight="1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6.5" customHeight="1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6.5" customHeight="1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6.5" customHeight="1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6.5" customHeight="1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6.5" customHeight="1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6.5" customHeight="1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6.5" customHeight="1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6.5" customHeight="1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6.5" customHeight="1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6.5" customHeight="1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6.5" customHeight="1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6.5" customHeight="1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6.5" customHeight="1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6.5" customHeight="1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6.5" customHeight="1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6.5" customHeight="1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6.5" customHeight="1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6.5" customHeight="1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6.5" customHeight="1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6.5" customHeight="1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6.5" customHeight="1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6.5" customHeight="1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6.5" customHeight="1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6.5" customHeight="1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6.5" customHeight="1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6.5" customHeight="1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6.5" customHeight="1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6.5" customHeight="1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6.5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6.5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6.5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6.5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6.5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6.5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6.5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6.5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6.5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6.5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6.5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6.5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6.5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6.5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6.5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6.5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6.5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6.5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6.5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6.5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6.5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6.5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6.5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6.5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6.5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6.5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6.5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6.5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6.5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6.5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6.5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6.5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6.5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6.5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6.5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6.5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6.5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6.5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6.5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6.5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6.5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6.5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6.5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6.5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6.5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6.5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6.5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6.5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6.5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6.5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6.5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6.5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6.5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6.5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6.5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6.5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6.5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6.5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6.5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6.5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6.5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6.5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6.5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6.5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6.5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6.5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6.5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6.5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6.5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6.5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6.5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6.5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6.5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6.5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6.5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6.5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6.5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6.5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6.5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6.5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6.5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6.5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6.5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6.5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6.5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6.5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6.5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6.5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6.5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6.5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6.5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6.5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6.5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6.5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6.5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6.5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6.5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6.5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6.5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6.5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6.5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6.5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6.5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6.5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6.5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6.5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6.5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6.5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6.5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6.5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6.5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6.5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6.5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6.5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6.5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6.5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6.5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6.5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6.5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6.5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6.5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6.5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6.5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6.5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6.5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6.5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6.5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6.5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6.5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6.5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6.5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6.5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6.5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6.5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6.5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6.5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6.5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6.5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6.5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6.5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6.5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6.5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6.5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6.5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6.5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6.5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6.5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6.5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6.5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6.5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6.5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6.5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6.5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6.5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6.5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6.5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6.5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6.5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6.5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6.5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6.5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6.5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6.5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6.5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6.5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6.5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6.5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6.5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6.5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6.5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6.5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6.5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6.5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6.5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6.5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6.5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6.5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6.5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6.5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6.5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6.5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6.5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6.5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6.5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6.5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6.5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6.5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6.5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6.5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6.5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6.5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6.5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6.5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6.5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6.5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6.5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6.5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6.5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6.5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6.5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6.5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6.5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6.5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6.5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6.5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6.5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6.5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6.5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6.5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6.5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6.5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6.5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6.5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6.5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6.5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6.5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6.5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6.5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6.5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6.5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6.5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6.5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6.5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6.5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6.5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6.5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6.5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6.5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6.5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6.5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6.5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6.5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6.5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6.5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6.5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6.5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6.5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6.5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6.5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6.5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6.5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6.5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6.5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6.5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6.5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6.5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6.5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6.5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6.5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6.5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6.5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6.5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6.5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6.5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6.5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6.5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6.5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6.5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6.5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6.5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6.5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6.5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6.5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6.5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6.5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6.5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6.5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6.5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6.5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6.5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6.5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6.5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6.5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6.5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6.5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6.5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6.5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6.5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6.5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6.5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6.5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6.5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6.5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6.5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6.5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6.5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6.5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6.5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6.5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6.5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6.5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6.5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6.5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6.5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6.5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6.5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6.5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6.5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6.5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6.5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6.5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6.5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6.5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6.5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6.5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6.5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6.5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6.5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6.5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6.5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6.5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6.5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6.5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6.5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6.5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6.5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6.5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6.5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6.5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6.5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6.5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6.5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6.5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6.5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6.5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6.5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6.5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6.5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6.5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6.5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6.5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6.5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6.5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6.5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6.5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6.5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6.5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6.5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6.5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6.5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6.5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6.5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6.5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6.5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6.5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6.5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6.5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6.5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6.5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6.5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6.5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6.5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6.5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6.5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6.5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6.5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6.5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6.5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6.5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6.5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6.5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6.5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6.5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6.5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6.5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6.5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6.5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6.5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6.5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6.5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6.5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6.5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6.5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6.5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6.5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6.5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6.5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6.5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6.5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6.5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6.5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6.5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6.5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6.5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6.5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6.5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6.5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6.5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6.5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6.5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6.5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6.5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6.5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6.5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6.5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6.5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6.5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6.5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6.5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6.5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6.5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6.5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6.5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6.5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6.5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6.5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6.5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6.5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6.5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6.5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6.5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6.5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6.5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6.5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6.5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6.5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6.5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6.5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6.5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6.5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6.5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6.5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6.5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6.5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6.5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6.5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6.5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6.5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6.5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6.5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6.5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6.5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6.5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6.5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6.5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6.5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6.5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6.5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6.5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6.5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6.5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6.5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6.5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6.5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6.5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6.5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6.5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6.5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6.5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6.5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6.5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6.5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6.5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6.5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6.5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6.5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6.5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6.5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6.5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6.5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6.5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6.5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6.5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6.5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6.5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6.5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6.5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6.5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6.5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6.5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6.5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6.5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6.5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6.5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6.5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6.5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6.5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6.5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6.5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6.5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6.5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6.5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6.5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6.5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6.5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6.5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6.5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6.5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6.5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6.5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6.5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6.5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6.5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6.5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6.5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6.5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6.5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6.5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6.5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6.5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6.5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6.5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6.5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6.5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6.5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6.5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6.5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6.5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6.5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6.5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6.5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6.5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6.5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6.5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6.5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6.5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6.5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6.5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6.5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6.5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6.5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6.5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6.5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6.5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6.5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6.5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6.5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6.5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6.5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6.5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6.5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6.5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6.5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6.5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6.5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6.5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6.5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6.5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6.5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6.5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6.5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6.5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6.5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6.5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6.5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6.5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6.5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6.5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6.5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6.5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6.5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6.5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6.5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6.5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6.5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6.5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6.5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6.5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6.5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6.5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6.5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6.5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6.5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6.5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6.5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6.5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6.5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6.5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6.5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6.5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6.5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6.5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6.5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6.5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6.5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6.5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6.5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6.5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6.5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6.5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6.5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6.5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6.5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6.5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6.5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6.5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6.5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6.5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6.5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6.5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6.5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6.5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6.5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6.5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6.5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6.5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6.5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6.5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6.5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6.5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6.5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6.5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6.5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6.5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6.5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6.5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6.5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6.5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6.5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6.5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6.5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6.5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6.5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6.5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6.5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6.5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6.5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6.5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6.5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6.5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6.5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6.5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6.5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6.5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6.5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6.5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6.5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6.5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6.5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6.5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6.5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6.5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6.5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6.5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6.5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6.5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6.5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6.5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6.5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6.5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6.5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6.5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6.5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6.5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6.5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6.5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6.5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6.5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6.5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6.5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6.5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6.5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6.5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6.5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6.5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6.5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6.5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6.5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6.5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6.5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6.5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6.5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6.5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6.5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6.5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6.5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6.5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6.5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6.5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6.5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6.5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6.5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6.5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6.5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6.5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6.5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6.5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6.5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6.5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6.5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6.5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6.5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6.5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6.5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6.5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6.5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6.5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6.5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6.5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6.5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6.5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6.5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6.5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6.5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6.5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6.5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6.5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6.5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6.5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6.5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6.5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6.5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6.5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6.5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6.5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6.5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6.5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6.5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6.5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6.5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6.5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6.5" customHeight="1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6.5" customHeight="1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6.5" customHeight="1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6.5" customHeight="1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92">
    <mergeCell ref="B101:E101"/>
    <mergeCell ref="B102:E102"/>
    <mergeCell ref="C95:E95"/>
    <mergeCell ref="C96:E96"/>
    <mergeCell ref="C97:E97"/>
    <mergeCell ref="C98:E98"/>
    <mergeCell ref="C99:E99"/>
    <mergeCell ref="B100:E100"/>
    <mergeCell ref="C94:E94"/>
    <mergeCell ref="B81:E81"/>
    <mergeCell ref="B83:F83"/>
    <mergeCell ref="C84:D84"/>
    <mergeCell ref="C85:D85"/>
    <mergeCell ref="C86:D86"/>
    <mergeCell ref="C87:D87"/>
    <mergeCell ref="C88:D88"/>
    <mergeCell ref="C89:D89"/>
    <mergeCell ref="C90:D90"/>
    <mergeCell ref="B91:E91"/>
    <mergeCell ref="C93:E93"/>
    <mergeCell ref="C80:E80"/>
    <mergeCell ref="C67:D67"/>
    <mergeCell ref="C68:D68"/>
    <mergeCell ref="C69:D69"/>
    <mergeCell ref="C70:D70"/>
    <mergeCell ref="C71:D71"/>
    <mergeCell ref="C72:D72"/>
    <mergeCell ref="B73:E73"/>
    <mergeCell ref="C76:E76"/>
    <mergeCell ref="C77:E77"/>
    <mergeCell ref="C78:E78"/>
    <mergeCell ref="C79:E79"/>
    <mergeCell ref="C66:D66"/>
    <mergeCell ref="C51:E51"/>
    <mergeCell ref="C52:E52"/>
    <mergeCell ref="B53:E53"/>
    <mergeCell ref="C55:D55"/>
    <mergeCell ref="C56:D56"/>
    <mergeCell ref="C57:D57"/>
    <mergeCell ref="C58:D58"/>
    <mergeCell ref="C59:D59"/>
    <mergeCell ref="C60:D60"/>
    <mergeCell ref="C61:D61"/>
    <mergeCell ref="B62:E62"/>
    <mergeCell ref="C50:E50"/>
    <mergeCell ref="C38:D38"/>
    <mergeCell ref="C39:D39"/>
    <mergeCell ref="C40:D40"/>
    <mergeCell ref="C41:D41"/>
    <mergeCell ref="C42:D42"/>
    <mergeCell ref="C43:D43"/>
    <mergeCell ref="C44:D44"/>
    <mergeCell ref="B45:E45"/>
    <mergeCell ref="C47:E47"/>
    <mergeCell ref="C48:E48"/>
    <mergeCell ref="C49:E49"/>
    <mergeCell ref="C37:D37"/>
    <mergeCell ref="C24:E24"/>
    <mergeCell ref="C25:E25"/>
    <mergeCell ref="C26:E26"/>
    <mergeCell ref="C27:E27"/>
    <mergeCell ref="B28:E28"/>
    <mergeCell ref="C31:D31"/>
    <mergeCell ref="C32:D32"/>
    <mergeCell ref="C33:D33"/>
    <mergeCell ref="B34:E34"/>
    <mergeCell ref="B35:F35"/>
    <mergeCell ref="C36:D36"/>
    <mergeCell ref="C23:E23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conditionalFormatting sqref="F49">
    <cfRule type="cellIs" dxfId="2" priority="1" operator="equal">
      <formula>"Insira o % do PAT"</formula>
    </cfRule>
  </conditionalFormatting>
  <printOptions horizontalCentered="1"/>
  <pageMargins left="0.08" right="0.05" top="0.19685039370078741" bottom="0.15748031496062992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0466-CBEC-4C68-946D-84A72BA16B18}">
  <dimension ref="A1:Z1000"/>
  <sheetViews>
    <sheetView topLeftCell="A79" workbookViewId="0">
      <selection activeCell="F103" sqref="F103"/>
    </sheetView>
  </sheetViews>
  <sheetFormatPr defaultColWidth="12.5703125" defaultRowHeight="15" customHeight="1" x14ac:dyDescent="0.25"/>
  <cols>
    <col min="1" max="1" width="2.7109375" style="13" customWidth="1"/>
    <col min="2" max="2" width="8.85546875" style="13" customWidth="1"/>
    <col min="3" max="3" width="52.5703125" style="13" customWidth="1"/>
    <col min="4" max="4" width="15.7109375" style="13" customWidth="1"/>
    <col min="5" max="5" width="13.5703125" style="13" customWidth="1"/>
    <col min="6" max="6" width="19.42578125" style="13" customWidth="1"/>
    <col min="7" max="26" width="9.140625" style="13" customWidth="1"/>
    <col min="27" max="16384" width="12.5703125" style="13"/>
  </cols>
  <sheetData>
    <row r="1" spans="1:26" ht="16.5" customHeight="1" x14ac:dyDescent="0.35">
      <c r="A1" s="14"/>
      <c r="B1" s="192" t="str">
        <f>RAMO</f>
        <v>RAMO: CONSELHO NACIONAL DO MINISTÉRIO PÚBLICO</v>
      </c>
      <c r="C1" s="136"/>
      <c r="D1" s="136"/>
      <c r="E1" s="136"/>
      <c r="F1" s="137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6.5" customHeight="1" x14ac:dyDescent="0.35">
      <c r="A2" s="14"/>
      <c r="B2" s="193" t="str">
        <f>UG</f>
        <v>UNIDADE GESTORA (SIGLA): CNMP</v>
      </c>
      <c r="C2" s="136"/>
      <c r="D2" s="137"/>
      <c r="E2" s="90" t="s">
        <v>153</v>
      </c>
      <c r="F2" s="89">
        <f>DATA_DO_ORCAMENTO_ESTIMATIVO</f>
        <v>46149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5.5" x14ac:dyDescent="0.5">
      <c r="A3" s="24"/>
      <c r="B3" s="179" t="s">
        <v>152</v>
      </c>
      <c r="C3" s="141"/>
      <c r="D3" s="141"/>
      <c r="E3" s="141"/>
      <c r="F3" s="14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 x14ac:dyDescent="0.3">
      <c r="A4" s="24"/>
      <c r="B4" s="172" t="s">
        <v>151</v>
      </c>
      <c r="C4" s="173"/>
      <c r="D4" s="173"/>
      <c r="E4" s="173"/>
      <c r="F4" s="17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3">
      <c r="A5" s="24"/>
      <c r="B5" s="144" t="s">
        <v>150</v>
      </c>
      <c r="C5" s="137"/>
      <c r="D5" s="185" t="str">
        <f>NUMERO_PROCESSO</f>
        <v>19.00.6300.0004747/2025-48</v>
      </c>
      <c r="E5" s="136"/>
      <c r="F5" s="13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3">
      <c r="A6" s="24"/>
      <c r="B6" s="146" t="s">
        <v>149</v>
      </c>
      <c r="C6" s="137"/>
      <c r="D6" s="188" t="str">
        <f>MODALIDADE_DE_LICITACAO</f>
        <v>Pregão nº</v>
      </c>
      <c r="E6" s="137"/>
      <c r="F6" s="88" t="str">
        <f>NUMERO_PREGAO</f>
        <v>XX/20XX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3">
      <c r="A7" s="24"/>
      <c r="B7" s="189" t="s">
        <v>148</v>
      </c>
      <c r="C7" s="190"/>
      <c r="D7" s="190"/>
      <c r="E7" s="190"/>
      <c r="F7" s="190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8" customHeight="1" x14ac:dyDescent="0.3">
      <c r="A8" s="24"/>
      <c r="B8" s="74" t="s">
        <v>24</v>
      </c>
      <c r="C8" s="144" t="s">
        <v>147</v>
      </c>
      <c r="D8" s="136"/>
      <c r="E8" s="137"/>
      <c r="F8" s="87" t="str">
        <f>DATA_APRESENTACAO_PROPOSTA</f>
        <v>XX/XX/20XX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 x14ac:dyDescent="0.25">
      <c r="A9" s="24"/>
      <c r="B9" s="28" t="s">
        <v>22</v>
      </c>
      <c r="C9" s="45" t="s">
        <v>146</v>
      </c>
      <c r="D9" s="142" t="str">
        <f>IF(LOCAL_DE_EXECUCAO="","",LOCAL_DE_EXECUCAO)</f>
        <v>CNMP</v>
      </c>
      <c r="E9" s="136"/>
      <c r="F9" s="137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8.75" customHeight="1" x14ac:dyDescent="0.3">
      <c r="A10" s="24"/>
      <c r="B10" s="74" t="s">
        <v>20</v>
      </c>
      <c r="C10" s="144" t="s">
        <v>145</v>
      </c>
      <c r="D10" s="136"/>
      <c r="E10" s="137"/>
      <c r="F10" s="86" t="str">
        <f>ACORDO_COLETIVO</f>
        <v>717/2025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3">
      <c r="A11" s="24"/>
      <c r="B11" s="28" t="s">
        <v>18</v>
      </c>
      <c r="C11" s="142" t="s">
        <v>144</v>
      </c>
      <c r="D11" s="136"/>
      <c r="E11" s="137"/>
      <c r="F11" s="35">
        <f>NUMERO_MESES_EXEC_CONTRATUAL</f>
        <v>60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6.5" customHeight="1" x14ac:dyDescent="0.3">
      <c r="A12" s="24"/>
      <c r="B12" s="28" t="s">
        <v>16</v>
      </c>
      <c r="C12" s="148" t="s">
        <v>143</v>
      </c>
      <c r="D12" s="136"/>
      <c r="E12" s="137"/>
      <c r="F12" s="33">
        <f>IF('ANALISTA SUP SENIOR'!QTDE_POSTOS="","",'ANALISTA SUP SENIOR'!QTDE_POSTOS)</f>
        <v>1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" customHeight="1" x14ac:dyDescent="0.25">
      <c r="A13" s="83"/>
      <c r="B13" s="85" t="s">
        <v>142</v>
      </c>
      <c r="C13" s="84"/>
      <c r="D13" s="84"/>
      <c r="E13" s="84"/>
      <c r="F13" s="84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16.5" x14ac:dyDescent="0.3">
      <c r="A14" s="24"/>
      <c r="B14" s="74">
        <v>1</v>
      </c>
      <c r="C14" s="144" t="s">
        <v>141</v>
      </c>
      <c r="D14" s="137"/>
      <c r="E14" s="158" t="str">
        <f>'INSERÇÃO-DE-DADOS'!C22</f>
        <v>ANALISTA DE SUPORTE COMPUTACIONAL SÊNIOR</v>
      </c>
      <c r="F14" s="196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6.5" customHeight="1" x14ac:dyDescent="0.3">
      <c r="A15" s="24"/>
      <c r="B15" s="74">
        <v>2</v>
      </c>
      <c r="C15" s="82" t="s">
        <v>140</v>
      </c>
      <c r="D15" s="187" t="str">
        <f>'INSERÇÃO-DE-DADOS'!F30</f>
        <v>2124-20</v>
      </c>
      <c r="E15" s="136"/>
      <c r="F15" s="137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" customHeight="1" x14ac:dyDescent="0.3">
      <c r="A16" s="24"/>
      <c r="B16" s="74">
        <v>3</v>
      </c>
      <c r="C16" s="81" t="s">
        <v>139</v>
      </c>
      <c r="D16" s="185" t="str">
        <f>IF(CATEGORIA_PROFISSIONAL="","",CATEGORIA_PROFISSIONAL)</f>
        <v/>
      </c>
      <c r="E16" s="136"/>
      <c r="F16" s="137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" customHeight="1" x14ac:dyDescent="0.3">
      <c r="A17" s="24"/>
      <c r="B17" s="74">
        <v>4</v>
      </c>
      <c r="C17" s="146" t="s">
        <v>138</v>
      </c>
      <c r="D17" s="136"/>
      <c r="E17" s="137"/>
      <c r="F17" s="80">
        <f>DATA_BASE_CATEGORIA</f>
        <v>46143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 x14ac:dyDescent="0.3">
      <c r="A18" s="79"/>
      <c r="B18" s="186" t="s">
        <v>137</v>
      </c>
      <c r="C18" s="173"/>
      <c r="D18" s="173"/>
      <c r="E18" s="173"/>
      <c r="F18" s="173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16.5" customHeight="1" x14ac:dyDescent="0.3">
      <c r="A19" s="14"/>
      <c r="B19" s="138" t="s">
        <v>136</v>
      </c>
      <c r="C19" s="136"/>
      <c r="D19" s="136"/>
      <c r="E19" s="137"/>
      <c r="F19" s="78">
        <f>IF(EMPREG_POR_POSTO="","",EMPREG_POR_POSTO)</f>
        <v>1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6.5" customHeight="1" x14ac:dyDescent="0.3">
      <c r="A20" s="14"/>
      <c r="B20" s="32" t="s">
        <v>59</v>
      </c>
      <c r="C20" s="14"/>
      <c r="D20" s="14"/>
      <c r="E20" s="40"/>
      <c r="F20" s="4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6.5" customHeight="1" x14ac:dyDescent="0.3">
      <c r="A21" s="14"/>
      <c r="B21" s="28">
        <v>1</v>
      </c>
      <c r="C21" s="143" t="s">
        <v>58</v>
      </c>
      <c r="D21" s="136"/>
      <c r="E21" s="137"/>
      <c r="F21" s="23" t="s">
        <v>125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6.5" customHeight="1" x14ac:dyDescent="0.3">
      <c r="A22" s="14"/>
      <c r="B22" s="28" t="s">
        <v>24</v>
      </c>
      <c r="C22" s="167" t="s">
        <v>135</v>
      </c>
      <c r="D22" s="136"/>
      <c r="E22" s="137"/>
      <c r="F22" s="77">
        <f>'INSERÇÃO-DE-DADOS'!F42</f>
        <v>7487.05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6.5" customHeight="1" x14ac:dyDescent="0.3">
      <c r="A23" s="14"/>
      <c r="B23" s="28" t="s">
        <v>22</v>
      </c>
      <c r="C23" s="135" t="s">
        <v>134</v>
      </c>
      <c r="D23" s="136"/>
      <c r="E23" s="137"/>
      <c r="F23" s="76">
        <f>PERC_ADIC_PERIC%*SALARIO_BASE</f>
        <v>0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 x14ac:dyDescent="0.3">
      <c r="A24" s="14"/>
      <c r="B24" s="28" t="s">
        <v>20</v>
      </c>
      <c r="C24" s="139" t="s">
        <v>133</v>
      </c>
      <c r="D24" s="136"/>
      <c r="E24" s="137"/>
      <c r="F24" s="77">
        <f>PERC_ADIC_INS%*SAL_MINIMO</f>
        <v>0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6.5" customHeight="1" x14ac:dyDescent="0.3">
      <c r="A25" s="14"/>
      <c r="B25" s="28" t="s">
        <v>18</v>
      </c>
      <c r="C25" s="145" t="str">
        <f>OUTROS_REMUNERACAO_1_DESCRICAO</f>
        <v>Outras Remunerações 1 (Especificar)</v>
      </c>
      <c r="D25" s="136"/>
      <c r="E25" s="137"/>
      <c r="F25" s="76">
        <f>OUTROS_REMUNERACAO_1</f>
        <v>0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6.5" customHeight="1" x14ac:dyDescent="0.3">
      <c r="A26" s="14"/>
      <c r="B26" s="28" t="s">
        <v>16</v>
      </c>
      <c r="C26" s="167" t="str">
        <f>OUTROS_REMUNERACAO_2_DESCRICAO</f>
        <v>Outras Remunerações 2 (Especificar)</v>
      </c>
      <c r="D26" s="136"/>
      <c r="E26" s="137"/>
      <c r="F26" s="77">
        <f>OUTROS_REMUNERACAO_2</f>
        <v>0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6.5" customHeight="1" x14ac:dyDescent="0.3">
      <c r="A27" s="14"/>
      <c r="B27" s="28" t="s">
        <v>14</v>
      </c>
      <c r="C27" s="145" t="str">
        <f>OUTROS_REMUNERACAO_3_DESCRICAO</f>
        <v>Outras Remunerações 3 (Especificar)</v>
      </c>
      <c r="D27" s="136"/>
      <c r="E27" s="137"/>
      <c r="F27" s="76">
        <f>OUTROS_REMUNERACAO_3</f>
        <v>0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6.5" customHeight="1" x14ac:dyDescent="0.3">
      <c r="A28" s="14"/>
      <c r="B28" s="143" t="s">
        <v>6</v>
      </c>
      <c r="C28" s="136"/>
      <c r="D28" s="136"/>
      <c r="E28" s="137"/>
      <c r="F28" s="73">
        <f>SUM(F22:F27)</f>
        <v>7487.05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6.5" customHeight="1" x14ac:dyDescent="0.3">
      <c r="A29" s="14"/>
      <c r="B29" s="32" t="s">
        <v>103</v>
      </c>
      <c r="C29" s="14"/>
      <c r="D29" s="14"/>
      <c r="E29" s="47"/>
      <c r="F29" s="47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6.5" customHeight="1" x14ac:dyDescent="0.3">
      <c r="A30" s="14"/>
      <c r="B30" s="32" t="s">
        <v>102</v>
      </c>
      <c r="C30" s="31"/>
      <c r="D30" s="30"/>
      <c r="E30" s="29"/>
      <c r="F30" s="29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6.5" customHeight="1" x14ac:dyDescent="0.3">
      <c r="A31" s="14"/>
      <c r="B31" s="28" t="s">
        <v>101</v>
      </c>
      <c r="C31" s="138" t="s">
        <v>100</v>
      </c>
      <c r="D31" s="137"/>
      <c r="E31" s="23" t="s">
        <v>41</v>
      </c>
      <c r="F31" s="23" t="s">
        <v>125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6.5" customHeight="1" x14ac:dyDescent="0.3">
      <c r="A32" s="14"/>
      <c r="B32" s="28" t="s">
        <v>24</v>
      </c>
      <c r="C32" s="139" t="s">
        <v>99</v>
      </c>
      <c r="D32" s="137"/>
      <c r="E32" s="44">
        <f>PERC_DEC_TERC</f>
        <v>8.3333333333333321</v>
      </c>
      <c r="F32" s="51">
        <f>PERC_DEC_TERC%*'ANALISTA SUP SENIOR'!MOD_1_REMUNERACAO_44H</f>
        <v>623.92083333333323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6.5" customHeight="1" x14ac:dyDescent="0.3">
      <c r="A33" s="14"/>
      <c r="B33" s="23" t="s">
        <v>22</v>
      </c>
      <c r="C33" s="135" t="s">
        <v>97</v>
      </c>
      <c r="D33" s="137"/>
      <c r="E33" s="42">
        <f>PERC_ADIC_FERIAS</f>
        <v>2.7777777777777777</v>
      </c>
      <c r="F33" s="50">
        <f>PERC_ADIC_FERIAS%*'ANALISTA SUP SENIOR'!MOD_1_REMUNERACAO_44H</f>
        <v>207.9736111111111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6.5" customHeight="1" x14ac:dyDescent="0.3">
      <c r="A34" s="19"/>
      <c r="B34" s="138" t="s">
        <v>6</v>
      </c>
      <c r="C34" s="136"/>
      <c r="D34" s="136"/>
      <c r="E34" s="137"/>
      <c r="F34" s="71">
        <f>SUM(F32:F33)</f>
        <v>831.89444444444439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31.5" customHeight="1" x14ac:dyDescent="0.3">
      <c r="A35" s="19"/>
      <c r="B35" s="184" t="s">
        <v>95</v>
      </c>
      <c r="C35" s="141"/>
      <c r="D35" s="141"/>
      <c r="E35" s="141"/>
      <c r="F35" s="141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34.5" customHeight="1" x14ac:dyDescent="0.3">
      <c r="A36" s="19"/>
      <c r="B36" s="28" t="s">
        <v>94</v>
      </c>
      <c r="C36" s="143" t="s">
        <v>93</v>
      </c>
      <c r="D36" s="137"/>
      <c r="E36" s="23" t="s">
        <v>41</v>
      </c>
      <c r="F36" s="23" t="s">
        <v>125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6.5" customHeight="1" x14ac:dyDescent="0.3">
      <c r="A37" s="14"/>
      <c r="B37" s="28" t="s">
        <v>24</v>
      </c>
      <c r="C37" s="139" t="s">
        <v>92</v>
      </c>
      <c r="D37" s="137"/>
      <c r="E37" s="44">
        <f>PERC_INSS</f>
        <v>20</v>
      </c>
      <c r="F37" s="51">
        <f>PERC_INSS%*('ANALISTA SUP SENIOR'!MOD_1_REMUNERACAO_44H+SUBMOD_2_1_DEC_TERC_ADIC_FERIAS_44H)</f>
        <v>1663.7888888888892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6.5" customHeight="1" x14ac:dyDescent="0.25">
      <c r="A38" s="24"/>
      <c r="B38" s="23" t="s">
        <v>22</v>
      </c>
      <c r="C38" s="135" t="s">
        <v>91</v>
      </c>
      <c r="D38" s="137"/>
      <c r="E38" s="43">
        <f>PERC_SAL_EDUCACAO</f>
        <v>2.5</v>
      </c>
      <c r="F38" s="50">
        <f>PERC_SAL_EDUCACAO%*('ANALISTA SUP SENIOR'!MOD_1_REMUNERACAO_44H+SUBMOD_2_1_DEC_TERC_ADIC_FERIAS_44H)</f>
        <v>207.97361111111115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6.5" customHeight="1" x14ac:dyDescent="0.25">
      <c r="A39" s="24"/>
      <c r="B39" s="23" t="s">
        <v>20</v>
      </c>
      <c r="C39" s="139" t="s">
        <v>90</v>
      </c>
      <c r="D39" s="137"/>
      <c r="E39" s="44">
        <f>PERC_RAT</f>
        <v>6</v>
      </c>
      <c r="F39" s="51">
        <f>PERC_RAT%*('ANALISTA SUP SENIOR'!MOD_1_REMUNERACAO_44H+SUBMOD_2_1_DEC_TERC_ADIC_FERIAS_44H)</f>
        <v>499.13666666666671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6.5" customHeight="1" x14ac:dyDescent="0.25">
      <c r="A40" s="24"/>
      <c r="B40" s="23" t="s">
        <v>18</v>
      </c>
      <c r="C40" s="135" t="s">
        <v>89</v>
      </c>
      <c r="D40" s="137"/>
      <c r="E40" s="42">
        <f>PERC_SESC</f>
        <v>1.5</v>
      </c>
      <c r="F40" s="50">
        <f>PERC_SESC%*('ANALISTA SUP SENIOR'!MOD_1_REMUNERACAO_44H+SUBMOD_2_1_DEC_TERC_ADIC_FERIAS_44H)</f>
        <v>124.78416666666668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6.5" customHeight="1" x14ac:dyDescent="0.25">
      <c r="A41" s="24"/>
      <c r="B41" s="23" t="s">
        <v>16</v>
      </c>
      <c r="C41" s="139" t="s">
        <v>88</v>
      </c>
      <c r="D41" s="137"/>
      <c r="E41" s="44">
        <f>PERC_SENAC</f>
        <v>1</v>
      </c>
      <c r="F41" s="51">
        <f>PERC_SENAC%*('ANALISTA SUP SENIOR'!MOD_1_REMUNERACAO_44H+SUBMOD_2_1_DEC_TERC_ADIC_FERIAS_44H)</f>
        <v>83.189444444444447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6.5" customHeight="1" x14ac:dyDescent="0.25">
      <c r="A42" s="24"/>
      <c r="B42" s="23" t="s">
        <v>14</v>
      </c>
      <c r="C42" s="135" t="s">
        <v>87</v>
      </c>
      <c r="D42" s="137"/>
      <c r="E42" s="43">
        <f>PERC_SEBRAE</f>
        <v>0.6</v>
      </c>
      <c r="F42" s="50">
        <f>PERC_SEBRAE%*('ANALISTA SUP SENIOR'!MOD_1_REMUNERACAO_44H+SUBMOD_2_1_DEC_TERC_ADIC_FERIAS_44H)</f>
        <v>49.913666666666671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6.5" customHeight="1" x14ac:dyDescent="0.25">
      <c r="A43" s="24"/>
      <c r="B43" s="23" t="s">
        <v>12</v>
      </c>
      <c r="C43" s="139" t="s">
        <v>86</v>
      </c>
      <c r="D43" s="137"/>
      <c r="E43" s="44">
        <f>PERC_INCRA</f>
        <v>0.2</v>
      </c>
      <c r="F43" s="51">
        <f>PERC_INCRA%*('ANALISTA SUP SENIOR'!MOD_1_REMUNERACAO_44H+SUBMOD_2_1_DEC_TERC_ADIC_FERIAS_44H)</f>
        <v>16.637888888888892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6.5" customHeight="1" x14ac:dyDescent="0.3">
      <c r="A44" s="14"/>
      <c r="B44" s="23" t="s">
        <v>10</v>
      </c>
      <c r="C44" s="135" t="s">
        <v>85</v>
      </c>
      <c r="D44" s="137"/>
      <c r="E44" s="43">
        <f>PERC_FGTS</f>
        <v>8</v>
      </c>
      <c r="F44" s="50">
        <f>PERC_FGTS%*('ANALISTA SUP SENIOR'!MOD_1_REMUNERACAO_44H+SUBMOD_2_1_DEC_TERC_ADIC_FERIAS_44H)</f>
        <v>665.51555555555558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6.5" customHeight="1" x14ac:dyDescent="0.3">
      <c r="A45" s="14"/>
      <c r="B45" s="138" t="s">
        <v>6</v>
      </c>
      <c r="C45" s="136"/>
      <c r="D45" s="136"/>
      <c r="E45" s="137"/>
      <c r="F45" s="75">
        <f>SUM(F37:F44)</f>
        <v>3310.9398888888895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3">
      <c r="A46" s="14"/>
      <c r="B46" s="32" t="s">
        <v>45</v>
      </c>
      <c r="C46" s="24"/>
      <c r="D46" s="24"/>
      <c r="E46" s="24"/>
      <c r="F46" s="2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3">
      <c r="A47" s="14"/>
      <c r="B47" s="28" t="s">
        <v>44</v>
      </c>
      <c r="C47" s="143" t="s">
        <v>43</v>
      </c>
      <c r="D47" s="136"/>
      <c r="E47" s="137"/>
      <c r="F47" s="23" t="s">
        <v>125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6.5" customHeight="1" x14ac:dyDescent="0.3">
      <c r="A48" s="14"/>
      <c r="B48" s="74" t="s">
        <v>24</v>
      </c>
      <c r="C48" s="139" t="s">
        <v>132</v>
      </c>
      <c r="D48" s="136"/>
      <c r="E48" s="137"/>
      <c r="F48" s="51">
        <f>IF(((TRANSPORTE_POR_DIA*DIAS_UTEIS_TRABALHADOS_NO_MES_44HORAS)-(PERC_DESC_TRANSP_REMUNERACAO%*('ANALISTA SUP SENIOR'!AL_1_A_SAL_BASE_44H)))&gt;0,((TRANSPORTE_POR_DIA*DIAS_UTEIS_TRABALHADOS_NO_MES_44HORAS)-(PERC_DESC_TRANSP_REMUNERACAO%*('ANALISTA SUP SENIOR'!AL_1_A_SAL_BASE_44H))),0)</f>
        <v>0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6.5" customHeight="1" x14ac:dyDescent="0.3">
      <c r="A49" s="19"/>
      <c r="B49" s="74" t="s">
        <v>22</v>
      </c>
      <c r="C49" s="135" t="s">
        <v>131</v>
      </c>
      <c r="D49" s="136"/>
      <c r="E49" s="137"/>
      <c r="F49" s="50">
        <f>IF(AND(ADESAO_AO_PAT="Sim",PERC_PAT&lt;&gt;""),ALIMENTACAO_POR_DIA*DIAS_UTEIS_TRABALHADOS_NO_MES_44HORAS*(100-PERC_PAT)%,IF(AND(ADESAO_AO_PAT="Sim",PERC_PAT=""),"Insira o % do PAT",ALIMENTACAO_POR_DIA*DIAS_UTEIS_TRABALHADOS_NO_MES_44HORAS))</f>
        <v>819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6.5" customHeight="1" x14ac:dyDescent="0.3">
      <c r="A50" s="19"/>
      <c r="B50" s="74" t="s">
        <v>20</v>
      </c>
      <c r="C50" s="167" t="str">
        <f>OUTROS_BENEFICIOS_1_DESCRICAO</f>
        <v>Outros Benefícios 1 (Auxilio creche - 20% x 526,64)</v>
      </c>
      <c r="D50" s="136"/>
      <c r="E50" s="137"/>
      <c r="F50" s="51">
        <f>OUTROS_BENEFICIOS_1</f>
        <v>105.328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6.5" customHeight="1" x14ac:dyDescent="0.3">
      <c r="A51" s="19"/>
      <c r="B51" s="74" t="s">
        <v>18</v>
      </c>
      <c r="C51" s="145" t="str">
        <f>OUTROS_BENEFICIOS_2_DESCRICAO</f>
        <v>Outros Benefícios 2 (Especificar)</v>
      </c>
      <c r="D51" s="136"/>
      <c r="E51" s="137"/>
      <c r="F51" s="50">
        <f>OUTROS_BENEFICIOS_2</f>
        <v>0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6.5" customHeight="1" x14ac:dyDescent="0.3">
      <c r="A52" s="19"/>
      <c r="B52" s="74" t="s">
        <v>16</v>
      </c>
      <c r="C52" s="167" t="str">
        <f>OUTROS_BENEFICIOS_3_DESCRICAO</f>
        <v>Outros Benefícios 3 (Especificar)</v>
      </c>
      <c r="D52" s="136"/>
      <c r="E52" s="137"/>
      <c r="F52" s="51">
        <f>OUTROS_BENEFICIOS_3</f>
        <v>0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5" customHeight="1" x14ac:dyDescent="0.3">
      <c r="A53" s="19"/>
      <c r="B53" s="143" t="s">
        <v>6</v>
      </c>
      <c r="C53" s="136"/>
      <c r="D53" s="136"/>
      <c r="E53" s="137"/>
      <c r="F53" s="73">
        <f>SUM(F48:F52)</f>
        <v>924.32799999999997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6.5" customHeight="1" x14ac:dyDescent="0.3">
      <c r="A54" s="19"/>
      <c r="B54" s="32" t="s">
        <v>36</v>
      </c>
      <c r="C54" s="31"/>
      <c r="D54" s="30"/>
      <c r="E54" s="29"/>
      <c r="F54" s="2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5" customHeight="1" x14ac:dyDescent="0.3">
      <c r="A55" s="19"/>
      <c r="B55" s="28">
        <v>3</v>
      </c>
      <c r="C55" s="138" t="s">
        <v>35</v>
      </c>
      <c r="D55" s="137"/>
      <c r="E55" s="23" t="s">
        <v>41</v>
      </c>
      <c r="F55" s="23" t="s">
        <v>125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6.5" customHeight="1" x14ac:dyDescent="0.3">
      <c r="A56" s="19"/>
      <c r="B56" s="28" t="s">
        <v>24</v>
      </c>
      <c r="C56" s="148" t="s">
        <v>84</v>
      </c>
      <c r="D56" s="137"/>
      <c r="E56" s="44">
        <f>PERC_AVISO_PREVIO_IND</f>
        <v>0.29105124999999998</v>
      </c>
      <c r="F56" s="51">
        <f>PERC_AVISO_PREVIO_IND%*('ANALISTA SUP SENIOR'!MOD_1_REMUNERACAO_44H+SUBMOD_2_1_DEC_TERC_ADIC_FERIAS_44H)</f>
        <v>24.21239179236111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6.5" customHeight="1" x14ac:dyDescent="0.3">
      <c r="A57" s="19"/>
      <c r="B57" s="23" t="s">
        <v>22</v>
      </c>
      <c r="C57" s="142" t="s">
        <v>82</v>
      </c>
      <c r="D57" s="137"/>
      <c r="E57" s="43">
        <f>INCID_FGTS_SOBRE_API</f>
        <v>2.3284099999999999E-2</v>
      </c>
      <c r="F57" s="50">
        <f>INCID_FGTS_SOBRE_API%*('ANALISTA SUP SENIOR'!MOD_1_REMUNERACAO_44H+SUBMOD_2_1_DEC_TERC_ADIC_FERIAS_44H)</f>
        <v>1.936991343388889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6.5" customHeight="1" x14ac:dyDescent="0.25">
      <c r="A58" s="24"/>
      <c r="B58" s="23" t="s">
        <v>20</v>
      </c>
      <c r="C58" s="148" t="s">
        <v>80</v>
      </c>
      <c r="D58" s="137"/>
      <c r="E58" s="44">
        <f>PERC_MULTA_FGTS_AV_PREV_IND</f>
        <v>0.11176368</v>
      </c>
      <c r="F58" s="51">
        <f>PERC_MULTA_FGTS_AV_PREV_IND%*('ANALISTA SUP SENIOR'!MOD_1_REMUNERACAO_44H+SUBMOD_2_1_DEC_TERC_ADIC_FERIAS_44H)</f>
        <v>9.2975584482666687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6.5" customHeight="1" x14ac:dyDescent="0.25">
      <c r="A59" s="24"/>
      <c r="B59" s="23" t="s">
        <v>18</v>
      </c>
      <c r="C59" s="142" t="s">
        <v>78</v>
      </c>
      <c r="D59" s="137"/>
      <c r="E59" s="43">
        <f>PERC_AVISO_PREVIO_TRAB</f>
        <v>1.1557269305555555</v>
      </c>
      <c r="F59" s="50">
        <f>PERC_AVISO_PREVIO_TRAB%*('ANALISTA SUP SENIOR'!MOD_1_REMUNERACAO_44H+SUBMOD_2_1_DEC_TERC_ADIC_FERIAS_44H)</f>
        <v>96.144281282399703</v>
      </c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6.5" customHeight="1" x14ac:dyDescent="0.25">
      <c r="A60" s="24"/>
      <c r="B60" s="23" t="s">
        <v>16</v>
      </c>
      <c r="C60" s="148" t="s">
        <v>76</v>
      </c>
      <c r="D60" s="137"/>
      <c r="E60" s="44">
        <f>INCID_SUBMOD_2_2_APT</f>
        <v>0.45997931836111106</v>
      </c>
      <c r="F60" s="51">
        <f>INCID_SUBMOD_2_2_APT%*('ANALISTA SUP SENIOR'!MOD_1_REMUNERACAO_44H+SUBMOD_2_1_DEC_TERC_ADIC_FERIAS_44H)</f>
        <v>38.265423950395075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6.5" customHeight="1" x14ac:dyDescent="0.25">
      <c r="A61" s="24"/>
      <c r="B61" s="23" t="s">
        <v>14</v>
      </c>
      <c r="C61" s="142" t="s">
        <v>74</v>
      </c>
      <c r="D61" s="137"/>
      <c r="E61" s="43">
        <f>PERC_MULTA_FGTS_AV_PREV_TRAB</f>
        <v>1.9019963200000001</v>
      </c>
      <c r="F61" s="50">
        <f>PERC_MULTA_FGTS_AV_PREV_TRAB%*('ANALISTA SUP SENIOR'!MOD_1_REMUNERACAO_44H+SUBMOD_2_1_DEC_TERC_ADIC_FERIAS_44H)</f>
        <v>158.22601719617779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6.5" customHeight="1" x14ac:dyDescent="0.3">
      <c r="A62" s="24"/>
      <c r="B62" s="138" t="s">
        <v>6</v>
      </c>
      <c r="C62" s="136"/>
      <c r="D62" s="136"/>
      <c r="E62" s="137"/>
      <c r="F62" s="71">
        <f>SUM(F56:F61)</f>
        <v>328.08266401298926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7.5" customHeight="1" x14ac:dyDescent="0.3">
      <c r="A63" s="14"/>
      <c r="B63" s="64"/>
      <c r="C63" s="14"/>
      <c r="D63" s="63"/>
      <c r="E63" s="40"/>
      <c r="F63" s="40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3">
      <c r="A64" s="24"/>
      <c r="B64" s="32" t="s">
        <v>29</v>
      </c>
      <c r="C64" s="31"/>
      <c r="D64" s="30"/>
      <c r="E64" s="14"/>
      <c r="F64" s="1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">
      <c r="A65" s="24"/>
      <c r="B65" s="32" t="s">
        <v>28</v>
      </c>
      <c r="C65" s="31"/>
      <c r="D65" s="30"/>
      <c r="E65" s="29"/>
      <c r="F65" s="29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6.5" customHeight="1" x14ac:dyDescent="0.25">
      <c r="A66" s="24"/>
      <c r="B66" s="28" t="s">
        <v>27</v>
      </c>
      <c r="C66" s="143" t="s">
        <v>26</v>
      </c>
      <c r="D66" s="137"/>
      <c r="E66" s="23" t="s">
        <v>41</v>
      </c>
      <c r="F66" s="23" t="s">
        <v>125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25">
      <c r="A67" s="24"/>
      <c r="B67" s="23" t="s">
        <v>24</v>
      </c>
      <c r="C67" s="139" t="s">
        <v>71</v>
      </c>
      <c r="D67" s="137"/>
      <c r="E67" s="44">
        <f>PERC_SUBSTITUTO_FERIAS</f>
        <v>8.3333333333333321</v>
      </c>
      <c r="F67" s="51">
        <f>PERC_SUBSTITUTO_FERIAS%*('ANALISTA SUP SENIOR'!MOD_1_REMUNERACAO_44H+'ANALISTA SUP SENIOR'!MOD_2_ENCARGOS_BENEFICIOS_44H)</f>
        <v>1046.1843611111108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25">
      <c r="A68" s="24"/>
      <c r="B68" s="23" t="s">
        <v>22</v>
      </c>
      <c r="C68" s="135" t="s">
        <v>69</v>
      </c>
      <c r="D68" s="137"/>
      <c r="E68" s="43">
        <f>PERC_SUBSTITUTO_AUSENCIAS_LEGAIS</f>
        <v>2.2222222222222223</v>
      </c>
      <c r="F68" s="50">
        <f>PERC_SUBSTITUTO_AUSENCIAS_LEGAIS%*('ANALISTA SUP SENIOR'!MOD_1_REMUNERACAO_44H+'ANALISTA SUP SENIOR'!MOD_2_ENCARGOS_BENEFICIOS_44H)</f>
        <v>278.98249629629629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25">
      <c r="A69" s="24"/>
      <c r="B69" s="23" t="s">
        <v>20</v>
      </c>
      <c r="C69" s="139" t="s">
        <v>67</v>
      </c>
      <c r="D69" s="137"/>
      <c r="E69" s="44">
        <f>PERC_SUBSTITUTO_LICENCA_PATERNIDADE</f>
        <v>1.7051833333333329E-2</v>
      </c>
      <c r="F69" s="51">
        <f>PERC_SUBSTITUTO_LICENCA_PATERNIDADE%*('ANALISTA SUP SENIOR'!MOD_1_REMUNERACAO_44H+'ANALISTA SUP SENIOR'!MOD_2_ENCARGOS_BENEFICIOS_44H)</f>
        <v>2.1407233633927771</v>
      </c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6.5" customHeight="1" x14ac:dyDescent="0.25">
      <c r="A70" s="24"/>
      <c r="B70" s="23" t="s">
        <v>18</v>
      </c>
      <c r="C70" s="135" t="s">
        <v>65</v>
      </c>
      <c r="D70" s="137"/>
      <c r="E70" s="43">
        <f>PERC_SUBSTITUTO_ACID_TRAB</f>
        <v>1.85302229372558E-2</v>
      </c>
      <c r="F70" s="50">
        <f>PERC_SUBSTITUTO_ACID_TRAB%*('ANALISTA SUP SENIOR'!MOD_1_REMUNERACAO_44H+'ANALISTA SUP SENIOR'!MOD_2_ENCARGOS_BENEFICIOS_44H)</f>
        <v>2.3263235333831296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6.5" customHeight="1" x14ac:dyDescent="0.25">
      <c r="A71" s="24"/>
      <c r="B71" s="23" t="s">
        <v>16</v>
      </c>
      <c r="C71" s="139" t="s">
        <v>63</v>
      </c>
      <c r="D71" s="137"/>
      <c r="E71" s="44">
        <f>PERC_SUBSTITUTO_AFAST_MATERN</f>
        <v>2.5507554666666658E-2</v>
      </c>
      <c r="F71" s="51">
        <f>PERC_SUBSTITUTO_AFAST_MATERN%*('ANALISTA SUP SENIOR'!MOD_1_REMUNERACAO_44H+'ANALISTA SUP SENIOR'!MOD_2_ENCARGOS_BENEFICIOS_44H)</f>
        <v>3.2022725738944078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6.5" customHeight="1" x14ac:dyDescent="0.25">
      <c r="A72" s="24"/>
      <c r="B72" s="23" t="s">
        <v>14</v>
      </c>
      <c r="C72" s="147" t="str">
        <f>OUTRAS_AUSENCIAS_DESCRICAO</f>
        <v>Outras Ausências (Especificar em %)</v>
      </c>
      <c r="D72" s="137"/>
      <c r="E72" s="72">
        <f>PERC_SUBSTITUTO_OUTRAS_AUSENCIAS</f>
        <v>0</v>
      </c>
      <c r="F72" s="50">
        <f>PERC_SUBSTITUTO_OUTRAS_AUSENCIAS%*('ANALISTA SUP SENIOR'!MOD_1_REMUNERACAO_44H+'ANALISTA SUP SENIOR'!MOD_2_ENCARGOS_BENEFICIOS_44H)</f>
        <v>0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6.5" customHeight="1" x14ac:dyDescent="0.3">
      <c r="A73" s="24"/>
      <c r="B73" s="138" t="s">
        <v>6</v>
      </c>
      <c r="C73" s="136"/>
      <c r="D73" s="136"/>
      <c r="E73" s="137"/>
      <c r="F73" s="71">
        <f>SUM(F67:F72)</f>
        <v>1332.8361768780771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7.5" customHeight="1" x14ac:dyDescent="0.3">
      <c r="A74" s="14"/>
      <c r="B74" s="64"/>
      <c r="C74" s="14"/>
      <c r="D74" s="63"/>
      <c r="E74" s="40"/>
      <c r="F74" s="40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6.5" customHeight="1" x14ac:dyDescent="0.3">
      <c r="A75" s="14"/>
      <c r="B75" s="32" t="s">
        <v>130</v>
      </c>
      <c r="C75" s="31"/>
      <c r="D75" s="31"/>
      <c r="E75" s="29"/>
      <c r="F75" s="29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3">
      <c r="A76" s="14"/>
      <c r="B76" s="70">
        <v>5</v>
      </c>
      <c r="C76" s="163" t="s">
        <v>109</v>
      </c>
      <c r="D76" s="164"/>
      <c r="E76" s="165"/>
      <c r="F76" s="69" t="s">
        <v>125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6.5" customHeight="1" x14ac:dyDescent="0.3">
      <c r="A77" s="14"/>
      <c r="B77" s="67" t="s">
        <v>24</v>
      </c>
      <c r="C77" s="166" t="s">
        <v>129</v>
      </c>
      <c r="D77" s="164"/>
      <c r="E77" s="165"/>
      <c r="F77" s="68">
        <f>UNIFORMES</f>
        <v>0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6.5" customHeight="1" x14ac:dyDescent="0.3">
      <c r="A78" s="14"/>
      <c r="B78" s="67" t="s">
        <v>22</v>
      </c>
      <c r="C78" s="181" t="s">
        <v>128</v>
      </c>
      <c r="D78" s="164"/>
      <c r="E78" s="165"/>
      <c r="F78" s="66">
        <f>MATERIAIS</f>
        <v>0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6.5" customHeight="1" x14ac:dyDescent="0.3">
      <c r="A79" s="14"/>
      <c r="B79" s="67" t="s">
        <v>20</v>
      </c>
      <c r="C79" s="166" t="s">
        <v>127</v>
      </c>
      <c r="D79" s="164"/>
      <c r="E79" s="165"/>
      <c r="F79" s="68">
        <f>EQUIPAMENTOS</f>
        <v>0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6.5" customHeight="1" x14ac:dyDescent="0.3">
      <c r="A80" s="14"/>
      <c r="B80" s="67" t="s">
        <v>18</v>
      </c>
      <c r="C80" s="183" t="str">
        <f>OUTROS_INSUMOS_DESCRICAO</f>
        <v>EPI</v>
      </c>
      <c r="D80" s="164"/>
      <c r="E80" s="165"/>
      <c r="F80" s="66">
        <f>OUTROS_INSUMOS</f>
        <v>0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6.5" customHeight="1" x14ac:dyDescent="0.3">
      <c r="A81" s="14"/>
      <c r="B81" s="163" t="s">
        <v>6</v>
      </c>
      <c r="C81" s="164"/>
      <c r="D81" s="164"/>
      <c r="E81" s="165"/>
      <c r="F81" s="65">
        <f>SUM(F77:F80)</f>
        <v>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7.5" customHeight="1" x14ac:dyDescent="0.3">
      <c r="A82" s="14"/>
      <c r="B82" s="64"/>
      <c r="C82" s="14"/>
      <c r="D82" s="63"/>
      <c r="E82" s="40"/>
      <c r="F82" s="40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" customHeight="1" x14ac:dyDescent="0.3">
      <c r="A83" s="14"/>
      <c r="B83" s="182" t="s">
        <v>126</v>
      </c>
      <c r="C83" s="141"/>
      <c r="D83" s="141"/>
      <c r="E83" s="141"/>
      <c r="F83" s="141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6.5" customHeight="1" x14ac:dyDescent="0.3">
      <c r="A84" s="14"/>
      <c r="B84" s="28">
        <v>6</v>
      </c>
      <c r="C84" s="138" t="s">
        <v>108</v>
      </c>
      <c r="D84" s="137"/>
      <c r="E84" s="23" t="s">
        <v>41</v>
      </c>
      <c r="F84" s="23" t="s">
        <v>125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6.5" customHeight="1" x14ac:dyDescent="0.3">
      <c r="A85" s="14"/>
      <c r="B85" s="28" t="s">
        <v>24</v>
      </c>
      <c r="C85" s="139" t="s">
        <v>124</v>
      </c>
      <c r="D85" s="137"/>
      <c r="E85" s="61">
        <f>PERC_CUSTOS_INDIRETOS</f>
        <v>4.7300000000000004</v>
      </c>
      <c r="F85" s="51">
        <f>PERC_CUSTOS_INDIRETOS%*('ANALISTA SUP SENIOR'!MOD_1_REMUNERACAO_44H+'ANALISTA SUP SENIOR'!MOD_2_ENCARGOS_BENEFICIOS_44H+'ANALISTA SUP SENIOR'!MOD_3_PROVISAO_RESCISAO_44H+'ANALISTA SUP SENIOR'!MOD_4_CUSTO_REPOSICAO_44H+'ANALISTA SUP SENIOR'!MOD_5_INSUMOS_44H)</f>
        <v>672.37570454081413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3">
      <c r="A86" s="14"/>
      <c r="B86" s="23" t="s">
        <v>22</v>
      </c>
      <c r="C86" s="135" t="s">
        <v>123</v>
      </c>
      <c r="D86" s="137"/>
      <c r="E86" s="62">
        <f>PERC_LUCRO</f>
        <v>5.57</v>
      </c>
      <c r="F86" s="50">
        <f>PERC_LUCRO%*('ANALISTA SUP SENIOR'!MOD_1_REMUNERACAO_44H+'ANALISTA SUP SENIOR'!MOD_2_ENCARGOS_BENEFICIOS_44H+'ANALISTA SUP SENIOR'!MOD_3_PROVISAO_RESCISAO_44H+'ANALISTA SUP SENIOR'!MOD_4_CUSTO_REPOSICAO_44H+'ANALISTA SUP SENIOR'!MOD_5_INSUMOS_44H+'ANALISTA SUP SENIOR'!AL_6_A_CUSTOS_INDIRETOS_44H)</f>
        <v>829.23413314722245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6.5" customHeight="1" x14ac:dyDescent="0.3">
      <c r="A87" s="14"/>
      <c r="B87" s="23" t="s">
        <v>20</v>
      </c>
      <c r="C87" s="139" t="s">
        <v>122</v>
      </c>
      <c r="D87" s="137"/>
      <c r="E87" s="61">
        <f>SUM(E88:E90)</f>
        <v>8.65</v>
      </c>
      <c r="F87" s="51">
        <f>SUM(F88:F90)</f>
        <v>1488.2299918231261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3">
      <c r="A88" s="14"/>
      <c r="B88" s="58" t="s">
        <v>121</v>
      </c>
      <c r="C88" s="194" t="s">
        <v>120</v>
      </c>
      <c r="D88" s="137"/>
      <c r="E88" s="57">
        <f>PERC_PIS</f>
        <v>0.65</v>
      </c>
      <c r="F88" s="56">
        <f>(('ANALISTA SUP SENIOR'!MOD_1_REMUNERACAO_44H+'ANALISTA SUP SENIOR'!MOD_2_ENCARGOS_BENEFICIOS_44H+'ANALISTA SUP SENIOR'!MOD_3_PROVISAO_RESCISAO_44H+'ANALISTA SUP SENIOR'!MOD_4_CUSTO_REPOSICAO_44H+'ANALISTA SUP SENIOR'!MOD_5_INSUMOS_44H+'ANALISTA SUP SENIOR'!AL_6_A_CUSTOS_INDIRETOS_44H+'ANALISTA SUP SENIOR'!AL_6_B_LUCRO_44H)*PERC_PIS%)/(1-'ANALISTA SUP SENIOR'!PERC_TRIBUTOS%)</f>
        <v>111.83231152428117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6.5" customHeight="1" x14ac:dyDescent="0.3">
      <c r="A89" s="14"/>
      <c r="B89" s="58" t="s">
        <v>119</v>
      </c>
      <c r="C89" s="195" t="s">
        <v>118</v>
      </c>
      <c r="D89" s="137"/>
      <c r="E89" s="60">
        <f>PERC_COFINS</f>
        <v>3</v>
      </c>
      <c r="F89" s="59">
        <f>(('ANALISTA SUP SENIOR'!MOD_1_REMUNERACAO_44H+'ANALISTA SUP SENIOR'!MOD_2_ENCARGOS_BENEFICIOS_44H+'ANALISTA SUP SENIOR'!MOD_3_PROVISAO_RESCISAO_44H+'ANALISTA SUP SENIOR'!MOD_4_CUSTO_REPOSICAO_44H+'ANALISTA SUP SENIOR'!MOD_5_INSUMOS_44H+'ANALISTA SUP SENIOR'!AL_6_A_CUSTOS_INDIRETOS_44H+'ANALISTA SUP SENIOR'!AL_6_B_LUCRO_44H)*PERC_COFINS%)/(1-'ANALISTA SUP SENIOR'!PERC_TRIBUTOS%)</f>
        <v>516.14913011206681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6.5" customHeight="1" x14ac:dyDescent="0.3">
      <c r="A90" s="52"/>
      <c r="B90" s="58" t="s">
        <v>117</v>
      </c>
      <c r="C90" s="194" t="s">
        <v>116</v>
      </c>
      <c r="D90" s="137"/>
      <c r="E90" s="57">
        <f>PERC_ISS</f>
        <v>5</v>
      </c>
      <c r="F90" s="56">
        <f>(('ANALISTA SUP SENIOR'!MOD_1_REMUNERACAO_44H+'ANALISTA SUP SENIOR'!MOD_2_ENCARGOS_BENEFICIOS_44H+'ANALISTA SUP SENIOR'!MOD_3_PROVISAO_RESCISAO_44H+'ANALISTA SUP SENIOR'!MOD_4_CUSTO_REPOSICAO_44H+'ANALISTA SUP SENIOR'!MOD_5_INSUMOS_44H+'ANALISTA SUP SENIOR'!AL_6_A_CUSTOS_INDIRETOS_44H+'ANALISTA SUP SENIOR'!AL_6_B_LUCRO_44H)*PERC_ISS%)/(1-'ANALISTA SUP SENIOR'!PERC_TRIBUTOS%)</f>
        <v>860.24855018677817</v>
      </c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6.5" customHeight="1" x14ac:dyDescent="0.3">
      <c r="A91" s="52"/>
      <c r="B91" s="138" t="s">
        <v>6</v>
      </c>
      <c r="C91" s="136"/>
      <c r="D91" s="136"/>
      <c r="E91" s="137"/>
      <c r="F91" s="48">
        <f>'ANALISTA SUP SENIOR'!AL_6_A_CUSTOS_INDIRETOS_44H+'ANALISTA SUP SENIOR'!AL_6_B_LUCRO_44H+'ANALISTA SUP SENIOR'!AL_6_C_TRIBUTOS_44H</f>
        <v>2989.8398295111629</v>
      </c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6.5" customHeight="1" x14ac:dyDescent="0.3">
      <c r="A92" s="52"/>
      <c r="B92" s="55" t="s">
        <v>115</v>
      </c>
      <c r="C92" s="15"/>
      <c r="D92" s="15"/>
      <c r="E92" s="15"/>
      <c r="F92" s="54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6.5" customHeight="1" x14ac:dyDescent="0.3">
      <c r="A93" s="53"/>
      <c r="B93" s="23" t="s">
        <v>114</v>
      </c>
      <c r="C93" s="143" t="s">
        <v>113</v>
      </c>
      <c r="D93" s="136"/>
      <c r="E93" s="137"/>
      <c r="F93" s="23" t="s">
        <v>112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6.5" customHeight="1" x14ac:dyDescent="0.3">
      <c r="A94" s="52"/>
      <c r="B94" s="28">
        <v>1</v>
      </c>
      <c r="C94" s="139" t="s">
        <v>58</v>
      </c>
      <c r="D94" s="136"/>
      <c r="E94" s="137"/>
      <c r="F94" s="51">
        <f>'ANALISTA SUP SENIOR'!MOD_1_REMUNERACAO_44H</f>
        <v>7487.05</v>
      </c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6.5" customHeight="1" x14ac:dyDescent="0.3">
      <c r="A95" s="49"/>
      <c r="B95" s="23">
        <v>2</v>
      </c>
      <c r="C95" s="135" t="s">
        <v>111</v>
      </c>
      <c r="D95" s="136"/>
      <c r="E95" s="137"/>
      <c r="F95" s="50">
        <f>'ANALISTA SUP SENIOR'!MOD_2_ENCARGOS_BENEFICIOS_44H</f>
        <v>5067.1623333333337</v>
      </c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6.5" customHeight="1" x14ac:dyDescent="0.3">
      <c r="A96" s="49"/>
      <c r="B96" s="23">
        <v>3</v>
      </c>
      <c r="C96" s="139" t="s">
        <v>35</v>
      </c>
      <c r="D96" s="136"/>
      <c r="E96" s="137"/>
      <c r="F96" s="51">
        <f>'ANALISTA SUP SENIOR'!MOD_3_PROVISAO_RESCISAO_44H</f>
        <v>328.08266401298926</v>
      </c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6.5" customHeight="1" x14ac:dyDescent="0.3">
      <c r="A97" s="49"/>
      <c r="B97" s="23">
        <v>4</v>
      </c>
      <c r="C97" s="135" t="s">
        <v>110</v>
      </c>
      <c r="D97" s="136"/>
      <c r="E97" s="137"/>
      <c r="F97" s="50">
        <f>'ANALISTA SUP SENIOR'!MOD_4_CUSTO_REPOSICAO_44H</f>
        <v>1332.8361768780771</v>
      </c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6.5" customHeight="1" x14ac:dyDescent="0.3">
      <c r="A98" s="49"/>
      <c r="B98" s="23">
        <v>5</v>
      </c>
      <c r="C98" s="139" t="s">
        <v>109</v>
      </c>
      <c r="D98" s="136"/>
      <c r="E98" s="137"/>
      <c r="F98" s="51">
        <f>'ANALISTA SUP SENIOR'!MOD_5_INSUMOS_44H</f>
        <v>0</v>
      </c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6.5" customHeight="1" x14ac:dyDescent="0.3">
      <c r="A99" s="49"/>
      <c r="B99" s="23">
        <v>6</v>
      </c>
      <c r="C99" s="135" t="s">
        <v>108</v>
      </c>
      <c r="D99" s="136"/>
      <c r="E99" s="137"/>
      <c r="F99" s="50">
        <f>'ANALISTA SUP SENIOR'!MOD_6_CUSTOS_IND_LUCRO_TRIB_44H</f>
        <v>2989.8398295111629</v>
      </c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6.5" customHeight="1" x14ac:dyDescent="0.3">
      <c r="A100" s="14"/>
      <c r="B100" s="143" t="s">
        <v>107</v>
      </c>
      <c r="C100" s="136"/>
      <c r="D100" s="136"/>
      <c r="E100" s="137"/>
      <c r="F100" s="48">
        <f>SUM(F94:F99)</f>
        <v>17204.971003735562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6.5" customHeight="1" x14ac:dyDescent="0.3">
      <c r="A101" s="14"/>
      <c r="B101" s="143" t="s">
        <v>106</v>
      </c>
      <c r="C101" s="136"/>
      <c r="D101" s="136"/>
      <c r="E101" s="137"/>
      <c r="F101" s="48">
        <f>VALOR_TOTAL_EMPREGADO_44H*'INSERÇÃO-DE-DADOS'!E22</f>
        <v>17204.971003735562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6.5" customHeight="1" x14ac:dyDescent="0.3">
      <c r="A102" s="14"/>
      <c r="B102" s="143" t="s">
        <v>105</v>
      </c>
      <c r="C102" s="136"/>
      <c r="D102" s="136"/>
      <c r="E102" s="137"/>
      <c r="F102" s="48">
        <f>VALOR_TOTAL_POSTO_44H</f>
        <v>17204.971003735562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6.5" customHeight="1" x14ac:dyDescent="0.3">
      <c r="A103" s="14"/>
      <c r="B103" s="14"/>
      <c r="C103" s="14"/>
      <c r="D103" s="14"/>
      <c r="E103" s="14"/>
      <c r="F103" s="14"/>
      <c r="G103" s="14"/>
      <c r="H103" s="126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6.5" customHeight="1" x14ac:dyDescent="0.3">
      <c r="A104" s="14"/>
      <c r="B104" s="14" t="s">
        <v>61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6.5" customHeight="1" x14ac:dyDescent="0.3">
      <c r="A105" s="14"/>
      <c r="B105" s="14"/>
      <c r="C105" s="14"/>
      <c r="D105" s="14"/>
      <c r="E105" s="14"/>
      <c r="F105" s="14"/>
      <c r="G105" s="14"/>
      <c r="H105" s="126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6.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6.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6.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6.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6.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6.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6.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6.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6.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6.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6.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6.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6.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6.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6.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6.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6.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6.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6.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6.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6.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6.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6.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6.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6.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6.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6.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6.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6.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6.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6.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6.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6.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6.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6.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6.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6.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6.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6.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6.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6.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6.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6.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6.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6.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6.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6.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6.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6.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6.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6.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6.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6.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6.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6.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6.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6.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6.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6.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6.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6.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6.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6.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6.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6.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6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6.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6.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6.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6.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6.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6.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6.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6.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6.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6.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6.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6.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6.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6.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6.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6.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6.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6.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6.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6.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6.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6.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6.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6.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6.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6.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6.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6.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6.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6.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6.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6.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6.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6.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6.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6.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6.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6.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6.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6.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6.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6.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6.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6.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6.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6.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6.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6.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6.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6.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6.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6.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6.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6.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6.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6.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6.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6.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6.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6.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6.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6.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6.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6.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6.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6.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6.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6.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6.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6.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6.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6.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6.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6.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6.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6.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6.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6.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6.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6.5" customHeight="1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6.5" customHeight="1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6.5" customHeight="1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6.5" customHeight="1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6.5" customHeight="1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6.5" customHeight="1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6.5" customHeight="1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6.5" customHeight="1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6.5" customHeight="1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6.5" customHeight="1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6.5" customHeight="1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6.5" customHeight="1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6.5" customHeight="1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6.5" customHeight="1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6.5" customHeight="1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6.5" customHeight="1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6.5" customHeight="1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6.5" customHeight="1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6.5" customHeight="1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6.5" customHeight="1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6.5" customHeight="1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6.5" customHeight="1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6.5" customHeight="1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6.5" customHeight="1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6.5" customHeight="1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6.5" customHeight="1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6.5" customHeight="1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6.5" customHeight="1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6.5" customHeight="1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6.5" customHeight="1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6.5" customHeight="1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6.5" customHeight="1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6.5" customHeight="1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6.5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6.5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6.5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6.5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6.5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6.5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6.5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6.5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6.5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6.5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6.5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6.5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6.5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6.5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6.5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6.5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6.5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6.5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6.5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6.5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6.5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6.5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6.5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6.5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6.5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6.5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6.5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6.5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6.5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6.5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6.5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6.5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6.5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6.5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6.5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6.5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6.5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6.5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6.5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6.5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6.5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6.5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6.5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6.5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6.5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6.5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6.5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6.5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6.5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6.5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6.5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6.5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6.5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6.5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6.5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6.5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6.5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6.5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6.5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6.5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6.5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6.5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6.5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6.5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6.5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6.5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6.5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6.5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6.5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6.5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6.5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6.5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6.5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6.5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6.5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6.5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6.5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6.5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6.5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6.5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6.5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6.5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6.5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6.5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6.5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6.5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6.5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6.5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6.5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6.5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6.5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6.5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6.5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6.5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6.5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6.5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6.5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6.5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6.5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6.5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6.5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6.5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6.5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6.5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6.5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6.5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6.5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6.5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6.5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6.5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6.5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6.5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6.5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6.5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6.5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6.5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6.5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6.5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6.5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6.5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6.5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6.5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6.5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6.5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6.5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6.5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6.5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6.5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6.5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6.5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6.5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6.5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6.5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6.5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6.5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6.5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6.5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6.5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6.5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6.5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6.5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6.5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6.5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6.5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6.5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6.5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6.5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6.5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6.5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6.5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6.5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6.5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6.5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6.5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6.5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6.5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6.5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6.5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6.5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6.5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6.5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6.5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6.5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6.5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6.5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6.5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6.5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6.5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6.5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6.5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6.5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6.5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6.5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6.5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6.5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6.5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6.5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6.5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6.5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6.5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6.5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6.5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6.5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6.5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6.5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6.5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6.5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6.5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6.5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6.5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6.5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6.5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6.5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6.5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6.5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6.5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6.5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6.5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6.5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6.5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6.5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6.5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6.5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6.5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6.5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6.5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6.5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6.5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6.5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6.5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6.5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6.5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6.5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6.5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6.5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6.5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6.5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6.5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6.5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6.5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6.5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6.5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6.5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6.5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6.5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6.5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6.5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6.5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6.5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6.5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6.5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6.5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6.5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6.5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6.5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6.5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6.5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6.5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6.5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6.5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6.5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6.5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6.5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6.5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6.5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6.5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6.5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6.5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6.5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6.5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6.5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6.5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6.5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6.5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6.5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6.5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6.5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6.5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6.5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6.5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6.5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6.5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6.5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6.5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6.5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6.5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6.5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6.5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6.5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6.5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6.5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6.5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6.5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6.5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6.5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6.5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6.5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6.5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6.5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6.5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6.5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6.5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6.5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6.5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6.5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6.5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6.5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6.5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6.5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6.5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6.5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6.5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6.5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6.5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6.5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6.5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6.5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6.5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6.5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6.5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6.5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6.5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6.5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6.5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6.5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6.5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6.5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6.5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6.5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6.5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6.5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6.5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6.5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6.5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6.5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6.5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6.5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6.5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6.5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6.5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6.5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6.5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6.5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6.5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6.5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6.5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6.5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6.5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6.5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6.5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6.5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6.5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6.5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6.5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6.5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6.5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6.5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6.5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6.5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6.5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6.5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6.5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6.5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6.5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6.5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6.5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6.5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6.5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6.5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6.5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6.5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6.5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6.5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6.5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6.5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6.5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6.5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6.5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6.5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6.5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6.5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6.5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6.5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6.5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6.5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6.5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6.5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6.5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6.5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6.5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6.5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6.5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6.5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6.5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6.5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6.5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6.5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6.5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6.5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6.5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6.5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6.5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6.5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6.5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6.5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6.5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6.5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6.5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6.5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6.5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6.5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6.5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6.5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6.5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6.5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6.5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6.5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6.5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6.5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6.5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6.5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6.5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6.5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6.5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6.5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6.5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6.5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6.5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6.5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6.5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6.5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6.5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6.5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6.5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6.5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6.5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6.5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6.5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6.5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6.5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6.5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6.5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6.5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6.5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6.5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6.5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6.5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6.5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6.5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6.5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6.5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6.5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6.5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6.5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6.5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6.5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6.5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6.5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6.5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6.5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6.5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6.5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6.5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6.5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6.5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6.5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6.5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6.5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6.5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6.5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6.5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6.5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6.5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6.5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6.5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6.5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6.5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6.5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6.5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6.5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6.5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6.5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6.5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6.5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6.5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6.5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6.5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6.5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6.5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6.5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6.5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6.5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6.5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6.5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6.5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6.5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6.5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6.5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6.5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6.5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6.5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6.5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6.5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6.5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6.5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6.5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6.5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6.5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6.5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6.5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6.5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6.5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6.5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6.5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6.5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6.5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6.5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6.5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6.5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6.5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6.5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6.5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6.5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6.5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6.5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6.5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6.5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6.5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6.5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6.5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6.5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6.5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6.5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6.5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6.5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6.5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6.5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6.5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6.5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6.5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6.5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6.5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6.5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6.5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6.5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6.5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6.5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6.5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6.5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6.5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6.5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6.5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6.5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6.5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6.5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6.5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6.5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6.5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6.5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6.5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6.5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6.5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6.5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6.5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6.5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6.5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6.5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6.5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6.5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6.5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6.5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6.5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6.5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6.5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6.5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6.5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6.5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6.5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6.5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6.5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6.5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6.5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6.5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6.5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6.5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6.5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6.5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6.5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6.5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6.5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6.5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6.5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6.5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6.5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6.5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6.5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6.5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6.5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6.5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6.5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6.5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6.5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6.5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6.5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6.5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6.5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6.5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6.5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6.5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6.5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6.5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6.5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6.5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6.5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6.5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6.5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6.5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6.5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6.5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6.5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6.5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6.5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6.5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6.5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6.5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6.5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6.5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6.5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6.5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6.5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6.5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6.5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6.5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6.5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6.5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6.5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6.5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6.5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6.5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6.5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6.5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6.5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6.5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6.5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6.5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6.5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6.5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6.5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6.5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6.5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6.5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6.5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6.5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6.5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6.5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6.5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6.5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6.5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6.5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6.5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6.5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6.5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6.5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6.5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6.5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6.5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6.5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6.5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6.5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6.5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6.5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6.5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6.5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6.5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6.5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6.5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6.5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6.5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6.5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6.5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6.5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6.5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6.5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6.5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6.5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6.5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6.5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6.5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6.5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6.5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6.5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6.5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6.5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6.5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6.5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6.5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6.5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6.5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6.5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6.5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6.5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6.5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6.5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6.5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6.5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6.5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6.5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6.5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6.5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6.5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6.5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6.5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6.5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6.5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6.5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6.5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6.5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6.5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6.5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6.5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6.5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6.5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6.5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6.5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6.5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6.5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6.5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6.5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6.5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6.5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6.5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6.5" customHeight="1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6.5" customHeight="1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6.5" customHeight="1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6.5" customHeight="1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92">
    <mergeCell ref="B101:E101"/>
    <mergeCell ref="B102:E102"/>
    <mergeCell ref="C95:E95"/>
    <mergeCell ref="C96:E96"/>
    <mergeCell ref="C97:E97"/>
    <mergeCell ref="C98:E98"/>
    <mergeCell ref="C99:E99"/>
    <mergeCell ref="B100:E100"/>
    <mergeCell ref="C94:E94"/>
    <mergeCell ref="B81:E81"/>
    <mergeCell ref="B83:F83"/>
    <mergeCell ref="C84:D84"/>
    <mergeCell ref="C85:D85"/>
    <mergeCell ref="C86:D86"/>
    <mergeCell ref="C87:D87"/>
    <mergeCell ref="C88:D88"/>
    <mergeCell ref="C89:D89"/>
    <mergeCell ref="C90:D90"/>
    <mergeCell ref="B91:E91"/>
    <mergeCell ref="C93:E93"/>
    <mergeCell ref="C80:E80"/>
    <mergeCell ref="C67:D67"/>
    <mergeCell ref="C68:D68"/>
    <mergeCell ref="C69:D69"/>
    <mergeCell ref="C70:D70"/>
    <mergeCell ref="C71:D71"/>
    <mergeCell ref="C72:D72"/>
    <mergeCell ref="B73:E73"/>
    <mergeCell ref="C76:E76"/>
    <mergeCell ref="C77:E77"/>
    <mergeCell ref="C78:E78"/>
    <mergeCell ref="C79:E79"/>
    <mergeCell ref="C66:D66"/>
    <mergeCell ref="C51:E51"/>
    <mergeCell ref="C52:E52"/>
    <mergeCell ref="B53:E53"/>
    <mergeCell ref="C55:D55"/>
    <mergeCell ref="C56:D56"/>
    <mergeCell ref="C57:D57"/>
    <mergeCell ref="C58:D58"/>
    <mergeCell ref="C59:D59"/>
    <mergeCell ref="C60:D60"/>
    <mergeCell ref="C61:D61"/>
    <mergeCell ref="B62:E62"/>
    <mergeCell ref="C50:E50"/>
    <mergeCell ref="C38:D38"/>
    <mergeCell ref="C39:D39"/>
    <mergeCell ref="C40:D40"/>
    <mergeCell ref="C41:D41"/>
    <mergeCell ref="C42:D42"/>
    <mergeCell ref="C43:D43"/>
    <mergeCell ref="C44:D44"/>
    <mergeCell ref="B45:E45"/>
    <mergeCell ref="C47:E47"/>
    <mergeCell ref="C48:E48"/>
    <mergeCell ref="C49:E49"/>
    <mergeCell ref="C37:D37"/>
    <mergeCell ref="C24:E24"/>
    <mergeCell ref="C25:E25"/>
    <mergeCell ref="C26:E26"/>
    <mergeCell ref="C27:E27"/>
    <mergeCell ref="B28:E28"/>
    <mergeCell ref="C31:D31"/>
    <mergeCell ref="C32:D32"/>
    <mergeCell ref="C33:D33"/>
    <mergeCell ref="B34:E34"/>
    <mergeCell ref="B35:F35"/>
    <mergeCell ref="C36:D36"/>
    <mergeCell ref="C23:E23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conditionalFormatting sqref="F49">
    <cfRule type="cellIs" dxfId="1" priority="1" operator="equal">
      <formula>"Insira o % do PAT"</formula>
    </cfRule>
  </conditionalFormatting>
  <printOptions horizontalCentered="1"/>
  <pageMargins left="0.08" right="0.05" top="0.19685039370078741" bottom="0.1574803149606299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F85C-D0CA-4ACC-BB8F-A98A080BE419}">
  <dimension ref="A1:Z1000"/>
  <sheetViews>
    <sheetView topLeftCell="A76" workbookViewId="0">
      <selection activeCell="F23" sqref="F23"/>
    </sheetView>
  </sheetViews>
  <sheetFormatPr defaultColWidth="12.5703125" defaultRowHeight="15" customHeight="1" x14ac:dyDescent="0.25"/>
  <cols>
    <col min="1" max="1" width="2.7109375" style="13" customWidth="1"/>
    <col min="2" max="2" width="8.85546875" style="13" customWidth="1"/>
    <col min="3" max="3" width="52.5703125" style="13" customWidth="1"/>
    <col min="4" max="4" width="15.7109375" style="13" customWidth="1"/>
    <col min="5" max="5" width="13.5703125" style="13" customWidth="1"/>
    <col min="6" max="6" width="19.42578125" style="13" customWidth="1"/>
    <col min="7" max="26" width="9.140625" style="13" customWidth="1"/>
    <col min="27" max="16384" width="12.5703125" style="13"/>
  </cols>
  <sheetData>
    <row r="1" spans="1:26" ht="16.5" customHeight="1" x14ac:dyDescent="0.35">
      <c r="A1" s="14"/>
      <c r="B1" s="192" t="str">
        <f>RAMO</f>
        <v>RAMO: CONSELHO NACIONAL DO MINISTÉRIO PÚBLICO</v>
      </c>
      <c r="C1" s="136"/>
      <c r="D1" s="136"/>
      <c r="E1" s="136"/>
      <c r="F1" s="137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6.5" customHeight="1" x14ac:dyDescent="0.35">
      <c r="A2" s="14"/>
      <c r="B2" s="193" t="str">
        <f>UG</f>
        <v>UNIDADE GESTORA (SIGLA): CNMP</v>
      </c>
      <c r="C2" s="136"/>
      <c r="D2" s="137"/>
      <c r="E2" s="90" t="s">
        <v>153</v>
      </c>
      <c r="F2" s="89">
        <f>DATA_DO_ORCAMENTO_ESTIMATIVO</f>
        <v>46149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5.5" x14ac:dyDescent="0.5">
      <c r="A3" s="24"/>
      <c r="B3" s="179" t="s">
        <v>152</v>
      </c>
      <c r="C3" s="141"/>
      <c r="D3" s="141"/>
      <c r="E3" s="141"/>
      <c r="F3" s="14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 x14ac:dyDescent="0.3">
      <c r="A4" s="24"/>
      <c r="B4" s="172" t="s">
        <v>151</v>
      </c>
      <c r="C4" s="173"/>
      <c r="D4" s="173"/>
      <c r="E4" s="173"/>
      <c r="F4" s="17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3">
      <c r="A5" s="24"/>
      <c r="B5" s="144" t="s">
        <v>150</v>
      </c>
      <c r="C5" s="137"/>
      <c r="D5" s="185" t="str">
        <f>NUMERO_PROCESSO</f>
        <v>19.00.6300.0004747/2025-48</v>
      </c>
      <c r="E5" s="136"/>
      <c r="F5" s="13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3">
      <c r="A6" s="24"/>
      <c r="B6" s="146" t="s">
        <v>149</v>
      </c>
      <c r="C6" s="137"/>
      <c r="D6" s="188" t="str">
        <f>MODALIDADE_DE_LICITACAO</f>
        <v>Pregão nº</v>
      </c>
      <c r="E6" s="137"/>
      <c r="F6" s="88" t="str">
        <f>NUMERO_PREGAO</f>
        <v>XX/20XX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3">
      <c r="A7" s="24"/>
      <c r="B7" s="189" t="s">
        <v>148</v>
      </c>
      <c r="C7" s="190"/>
      <c r="D7" s="190"/>
      <c r="E7" s="190"/>
      <c r="F7" s="190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8" customHeight="1" x14ac:dyDescent="0.3">
      <c r="A8" s="24"/>
      <c r="B8" s="74" t="s">
        <v>24</v>
      </c>
      <c r="C8" s="144" t="s">
        <v>147</v>
      </c>
      <c r="D8" s="136"/>
      <c r="E8" s="137"/>
      <c r="F8" s="87" t="str">
        <f>DATA_APRESENTACAO_PROPOSTA</f>
        <v>XX/XX/20XX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 x14ac:dyDescent="0.25">
      <c r="A9" s="24"/>
      <c r="B9" s="28" t="s">
        <v>22</v>
      </c>
      <c r="C9" s="45" t="s">
        <v>146</v>
      </c>
      <c r="D9" s="142" t="str">
        <f>IF(LOCAL_DE_EXECUCAO="","",LOCAL_DE_EXECUCAO)</f>
        <v>CNMP</v>
      </c>
      <c r="E9" s="136"/>
      <c r="F9" s="137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8.75" customHeight="1" x14ac:dyDescent="0.3">
      <c r="A10" s="24"/>
      <c r="B10" s="74" t="s">
        <v>20</v>
      </c>
      <c r="C10" s="144" t="s">
        <v>145</v>
      </c>
      <c r="D10" s="136"/>
      <c r="E10" s="137"/>
      <c r="F10" s="86" t="str">
        <f>ACORDO_COLETIVO</f>
        <v>717/2025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3">
      <c r="A11" s="24"/>
      <c r="B11" s="28" t="s">
        <v>18</v>
      </c>
      <c r="C11" s="142" t="s">
        <v>144</v>
      </c>
      <c r="D11" s="136"/>
      <c r="E11" s="137"/>
      <c r="F11" s="35">
        <f>NUMERO_MESES_EXEC_CONTRATUAL</f>
        <v>60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6.5" customHeight="1" x14ac:dyDescent="0.3">
      <c r="A12" s="24"/>
      <c r="B12" s="28" t="s">
        <v>16</v>
      </c>
      <c r="C12" s="148" t="s">
        <v>143</v>
      </c>
      <c r="D12" s="136"/>
      <c r="E12" s="137"/>
      <c r="F12" s="33">
        <f>IF('TEC SUPORTE JUNIOR'!QTDE_POSTOS="","",'TEC SUPORTE JUNIOR'!QTDE_POSTOS)</f>
        <v>1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" customHeight="1" x14ac:dyDescent="0.25">
      <c r="A13" s="83"/>
      <c r="B13" s="85" t="s">
        <v>142</v>
      </c>
      <c r="C13" s="84"/>
      <c r="D13" s="84"/>
      <c r="E13" s="84"/>
      <c r="F13" s="84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16.5" x14ac:dyDescent="0.3">
      <c r="A14" s="24"/>
      <c r="B14" s="74">
        <v>1</v>
      </c>
      <c r="C14" s="144" t="s">
        <v>141</v>
      </c>
      <c r="D14" s="137"/>
      <c r="E14" s="158" t="str">
        <f xml:space="preserve"> 'INSERÇÃO-DE-DADOS'!C23</f>
        <v>TÉCNICO DE SUPORTE AO USUÁRIO DE TECNOLOGIA DA INFORMAÇÃO JÚNIOR</v>
      </c>
      <c r="F14" s="196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6.5" customHeight="1" x14ac:dyDescent="0.3">
      <c r="A15" s="24"/>
      <c r="B15" s="74">
        <v>2</v>
      </c>
      <c r="C15" s="82" t="s">
        <v>140</v>
      </c>
      <c r="D15" s="187" t="str">
        <f>'INSERÇÃO-DE-DADOS'!F31</f>
        <v>3172-10</v>
      </c>
      <c r="E15" s="136"/>
      <c r="F15" s="137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" customHeight="1" x14ac:dyDescent="0.3">
      <c r="A16" s="24"/>
      <c r="B16" s="74">
        <v>3</v>
      </c>
      <c r="C16" s="81" t="s">
        <v>139</v>
      </c>
      <c r="D16" s="185" t="str">
        <f>IF(CATEGORIA_PROFISSIONAL="","",CATEGORIA_PROFISSIONAL)</f>
        <v/>
      </c>
      <c r="E16" s="136"/>
      <c r="F16" s="137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" customHeight="1" x14ac:dyDescent="0.3">
      <c r="A17" s="24"/>
      <c r="B17" s="74">
        <v>4</v>
      </c>
      <c r="C17" s="146" t="s">
        <v>138</v>
      </c>
      <c r="D17" s="136"/>
      <c r="E17" s="137"/>
      <c r="F17" s="80">
        <f>DATA_BASE_CATEGORIA</f>
        <v>46143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 x14ac:dyDescent="0.3">
      <c r="A18" s="79"/>
      <c r="B18" s="186" t="s">
        <v>137</v>
      </c>
      <c r="C18" s="173"/>
      <c r="D18" s="173"/>
      <c r="E18" s="173"/>
      <c r="F18" s="173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16.5" customHeight="1" x14ac:dyDescent="0.3">
      <c r="A19" s="14"/>
      <c r="B19" s="138" t="s">
        <v>136</v>
      </c>
      <c r="C19" s="136"/>
      <c r="D19" s="136"/>
      <c r="E19" s="137"/>
      <c r="F19" s="78">
        <f>IF(EMPREG_POR_POSTO="","",EMPREG_POR_POSTO)</f>
        <v>1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6.5" customHeight="1" x14ac:dyDescent="0.3">
      <c r="A20" s="14"/>
      <c r="B20" s="32" t="s">
        <v>59</v>
      </c>
      <c r="C20" s="14"/>
      <c r="D20" s="14"/>
      <c r="E20" s="40"/>
      <c r="F20" s="4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6.5" customHeight="1" x14ac:dyDescent="0.3">
      <c r="A21" s="14"/>
      <c r="B21" s="28">
        <v>1</v>
      </c>
      <c r="C21" s="143" t="s">
        <v>58</v>
      </c>
      <c r="D21" s="136"/>
      <c r="E21" s="137"/>
      <c r="F21" s="23" t="s">
        <v>125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6.5" customHeight="1" x14ac:dyDescent="0.3">
      <c r="A22" s="14"/>
      <c r="B22" s="28" t="s">
        <v>24</v>
      </c>
      <c r="C22" s="167" t="s">
        <v>135</v>
      </c>
      <c r="D22" s="136"/>
      <c r="E22" s="137"/>
      <c r="F22" s="77">
        <f>'INSERÇÃO-DE-DADOS'!F43</f>
        <v>1800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6.5" customHeight="1" x14ac:dyDescent="0.3">
      <c r="A23" s="14"/>
      <c r="B23" s="28" t="s">
        <v>22</v>
      </c>
      <c r="C23" s="135" t="s">
        <v>134</v>
      </c>
      <c r="D23" s="136"/>
      <c r="E23" s="137"/>
      <c r="F23" s="76">
        <f>PERC_ADIC_PERIC%*SALARIO_BASE</f>
        <v>0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 x14ac:dyDescent="0.3">
      <c r="A24" s="14"/>
      <c r="B24" s="28" t="s">
        <v>20</v>
      </c>
      <c r="C24" s="139" t="s">
        <v>133</v>
      </c>
      <c r="D24" s="136"/>
      <c r="E24" s="137"/>
      <c r="F24" s="77">
        <f>PERC_ADIC_INS%*SAL_MINIMO</f>
        <v>0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6.5" customHeight="1" x14ac:dyDescent="0.3">
      <c r="A25" s="14"/>
      <c r="B25" s="28" t="s">
        <v>18</v>
      </c>
      <c r="C25" s="145" t="str">
        <f>OUTROS_REMUNERACAO_1_DESCRICAO</f>
        <v>Outras Remunerações 1 (Especificar)</v>
      </c>
      <c r="D25" s="136"/>
      <c r="E25" s="137"/>
      <c r="F25" s="76">
        <f>OUTROS_REMUNERACAO_1</f>
        <v>0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6.5" customHeight="1" x14ac:dyDescent="0.3">
      <c r="A26" s="14"/>
      <c r="B26" s="28" t="s">
        <v>16</v>
      </c>
      <c r="C26" s="167" t="str">
        <f>OUTROS_REMUNERACAO_2_DESCRICAO</f>
        <v>Outras Remunerações 2 (Especificar)</v>
      </c>
      <c r="D26" s="136"/>
      <c r="E26" s="137"/>
      <c r="F26" s="77">
        <f>OUTROS_REMUNERACAO_2</f>
        <v>0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6.5" customHeight="1" x14ac:dyDescent="0.3">
      <c r="A27" s="14"/>
      <c r="B27" s="28" t="s">
        <v>14</v>
      </c>
      <c r="C27" s="145" t="str">
        <f>OUTROS_REMUNERACAO_3_DESCRICAO</f>
        <v>Outras Remunerações 3 (Especificar)</v>
      </c>
      <c r="D27" s="136"/>
      <c r="E27" s="137"/>
      <c r="F27" s="76">
        <f>OUTROS_REMUNERACAO_3</f>
        <v>0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6.5" customHeight="1" x14ac:dyDescent="0.3">
      <c r="A28" s="14"/>
      <c r="B28" s="143" t="s">
        <v>6</v>
      </c>
      <c r="C28" s="136"/>
      <c r="D28" s="136"/>
      <c r="E28" s="137"/>
      <c r="F28" s="73">
        <f>SUM(F22:F27)</f>
        <v>1800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6.5" customHeight="1" x14ac:dyDescent="0.3">
      <c r="A29" s="14"/>
      <c r="B29" s="32" t="s">
        <v>103</v>
      </c>
      <c r="C29" s="14"/>
      <c r="D29" s="14"/>
      <c r="E29" s="47"/>
      <c r="F29" s="47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6.5" customHeight="1" x14ac:dyDescent="0.3">
      <c r="A30" s="14"/>
      <c r="B30" s="32" t="s">
        <v>102</v>
      </c>
      <c r="C30" s="31"/>
      <c r="D30" s="30"/>
      <c r="E30" s="29"/>
      <c r="F30" s="29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6.5" customHeight="1" x14ac:dyDescent="0.3">
      <c r="A31" s="14"/>
      <c r="B31" s="28" t="s">
        <v>101</v>
      </c>
      <c r="C31" s="138" t="s">
        <v>100</v>
      </c>
      <c r="D31" s="137"/>
      <c r="E31" s="23" t="s">
        <v>41</v>
      </c>
      <c r="F31" s="23" t="s">
        <v>125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6.5" customHeight="1" x14ac:dyDescent="0.3">
      <c r="A32" s="14"/>
      <c r="B32" s="28" t="s">
        <v>24</v>
      </c>
      <c r="C32" s="139" t="s">
        <v>99</v>
      </c>
      <c r="D32" s="137"/>
      <c r="E32" s="44">
        <f>PERC_DEC_TERC</f>
        <v>8.3333333333333321</v>
      </c>
      <c r="F32" s="51">
        <f>PERC_DEC_TERC%*'TEC SUPORTE JUNIOR'!MOD_1_REMUNERACAO_44H</f>
        <v>149.99999999999997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6.5" customHeight="1" x14ac:dyDescent="0.3">
      <c r="A33" s="14"/>
      <c r="B33" s="23" t="s">
        <v>22</v>
      </c>
      <c r="C33" s="135" t="s">
        <v>97</v>
      </c>
      <c r="D33" s="137"/>
      <c r="E33" s="42">
        <f>PERC_ADIC_FERIAS</f>
        <v>2.7777777777777777</v>
      </c>
      <c r="F33" s="50">
        <f>PERC_ADIC_FERIAS%*'TEC SUPORTE JUNIOR'!MOD_1_REMUNERACAO_44H</f>
        <v>50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6.5" customHeight="1" x14ac:dyDescent="0.3">
      <c r="A34" s="19"/>
      <c r="B34" s="138" t="s">
        <v>6</v>
      </c>
      <c r="C34" s="136"/>
      <c r="D34" s="136"/>
      <c r="E34" s="137"/>
      <c r="F34" s="71">
        <f>SUM(F32:F33)</f>
        <v>199.99999999999997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31.5" customHeight="1" x14ac:dyDescent="0.3">
      <c r="A35" s="19"/>
      <c r="B35" s="184" t="s">
        <v>95</v>
      </c>
      <c r="C35" s="141"/>
      <c r="D35" s="141"/>
      <c r="E35" s="141"/>
      <c r="F35" s="141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34.5" customHeight="1" x14ac:dyDescent="0.3">
      <c r="A36" s="19"/>
      <c r="B36" s="28" t="s">
        <v>94</v>
      </c>
      <c r="C36" s="143" t="s">
        <v>93</v>
      </c>
      <c r="D36" s="137"/>
      <c r="E36" s="23" t="s">
        <v>41</v>
      </c>
      <c r="F36" s="23" t="s">
        <v>125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6.5" customHeight="1" x14ac:dyDescent="0.3">
      <c r="A37" s="14"/>
      <c r="B37" s="28" t="s">
        <v>24</v>
      </c>
      <c r="C37" s="139" t="s">
        <v>92</v>
      </c>
      <c r="D37" s="137"/>
      <c r="E37" s="44">
        <f>PERC_INSS</f>
        <v>20</v>
      </c>
      <c r="F37" s="51">
        <f>PERC_INSS%*('TEC SUPORTE JUNIOR'!MOD_1_REMUNERACAO_44H+SUBMOD_2_1_DEC_TERC_ADIC_FERIAS_44H)</f>
        <v>400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6.5" customHeight="1" x14ac:dyDescent="0.25">
      <c r="A38" s="24"/>
      <c r="B38" s="23" t="s">
        <v>22</v>
      </c>
      <c r="C38" s="135" t="s">
        <v>91</v>
      </c>
      <c r="D38" s="137"/>
      <c r="E38" s="43">
        <f>PERC_SAL_EDUCACAO</f>
        <v>2.5</v>
      </c>
      <c r="F38" s="50">
        <f>PERC_SAL_EDUCACAO%*('TEC SUPORTE JUNIOR'!MOD_1_REMUNERACAO_44H+SUBMOD_2_1_DEC_TERC_ADIC_FERIAS_44H)</f>
        <v>50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6.5" customHeight="1" x14ac:dyDescent="0.25">
      <c r="A39" s="24"/>
      <c r="B39" s="23" t="s">
        <v>20</v>
      </c>
      <c r="C39" s="139" t="s">
        <v>90</v>
      </c>
      <c r="D39" s="137"/>
      <c r="E39" s="44">
        <f>PERC_RAT</f>
        <v>6</v>
      </c>
      <c r="F39" s="51">
        <f>PERC_RAT%*('TEC SUPORTE JUNIOR'!MOD_1_REMUNERACAO_44H+SUBMOD_2_1_DEC_TERC_ADIC_FERIAS_44H)</f>
        <v>120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6.5" customHeight="1" x14ac:dyDescent="0.25">
      <c r="A40" s="24"/>
      <c r="B40" s="23" t="s">
        <v>18</v>
      </c>
      <c r="C40" s="135" t="s">
        <v>89</v>
      </c>
      <c r="D40" s="137"/>
      <c r="E40" s="42">
        <f>PERC_SESC</f>
        <v>1.5</v>
      </c>
      <c r="F40" s="50">
        <f>PERC_SESC%*('TEC SUPORTE JUNIOR'!MOD_1_REMUNERACAO_44H+SUBMOD_2_1_DEC_TERC_ADIC_FERIAS_44H)</f>
        <v>30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6.5" customHeight="1" x14ac:dyDescent="0.25">
      <c r="A41" s="24"/>
      <c r="B41" s="23" t="s">
        <v>16</v>
      </c>
      <c r="C41" s="139" t="s">
        <v>88</v>
      </c>
      <c r="D41" s="137"/>
      <c r="E41" s="44">
        <f>PERC_SENAC</f>
        <v>1</v>
      </c>
      <c r="F41" s="51">
        <f>PERC_SENAC%*('TEC SUPORTE JUNIOR'!MOD_1_REMUNERACAO_44H+SUBMOD_2_1_DEC_TERC_ADIC_FERIAS_44H)</f>
        <v>20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6.5" customHeight="1" x14ac:dyDescent="0.25">
      <c r="A42" s="24"/>
      <c r="B42" s="23" t="s">
        <v>14</v>
      </c>
      <c r="C42" s="135" t="s">
        <v>87</v>
      </c>
      <c r="D42" s="137"/>
      <c r="E42" s="43">
        <f>PERC_SEBRAE</f>
        <v>0.6</v>
      </c>
      <c r="F42" s="50">
        <f>PERC_SEBRAE%*('TEC SUPORTE JUNIOR'!MOD_1_REMUNERACAO_44H+SUBMOD_2_1_DEC_TERC_ADIC_FERIAS_44H)</f>
        <v>12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6.5" customHeight="1" x14ac:dyDescent="0.25">
      <c r="A43" s="24"/>
      <c r="B43" s="23" t="s">
        <v>12</v>
      </c>
      <c r="C43" s="139" t="s">
        <v>86</v>
      </c>
      <c r="D43" s="137"/>
      <c r="E43" s="44">
        <f>PERC_INCRA</f>
        <v>0.2</v>
      </c>
      <c r="F43" s="51">
        <f>PERC_INCRA%*('TEC SUPORTE JUNIOR'!MOD_1_REMUNERACAO_44H+SUBMOD_2_1_DEC_TERC_ADIC_FERIAS_44H)</f>
        <v>4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6.5" customHeight="1" x14ac:dyDescent="0.3">
      <c r="A44" s="14"/>
      <c r="B44" s="23" t="s">
        <v>10</v>
      </c>
      <c r="C44" s="135" t="s">
        <v>85</v>
      </c>
      <c r="D44" s="137"/>
      <c r="E44" s="43">
        <f>PERC_FGTS</f>
        <v>8</v>
      </c>
      <c r="F44" s="50">
        <f>PERC_FGTS%*('TEC SUPORTE JUNIOR'!MOD_1_REMUNERACAO_44H+SUBMOD_2_1_DEC_TERC_ADIC_FERIAS_44H)</f>
        <v>160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6.5" customHeight="1" x14ac:dyDescent="0.3">
      <c r="A45" s="14"/>
      <c r="B45" s="138" t="s">
        <v>6</v>
      </c>
      <c r="C45" s="136"/>
      <c r="D45" s="136"/>
      <c r="E45" s="137"/>
      <c r="F45" s="75">
        <f>SUM(F37:F44)</f>
        <v>796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3">
      <c r="A46" s="14"/>
      <c r="B46" s="32" t="s">
        <v>45</v>
      </c>
      <c r="C46" s="24"/>
      <c r="D46" s="24"/>
      <c r="E46" s="24"/>
      <c r="F46" s="2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3">
      <c r="A47" s="14"/>
      <c r="B47" s="28" t="s">
        <v>44</v>
      </c>
      <c r="C47" s="143" t="s">
        <v>43</v>
      </c>
      <c r="D47" s="136"/>
      <c r="E47" s="137"/>
      <c r="F47" s="23" t="s">
        <v>125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6.5" customHeight="1" x14ac:dyDescent="0.3">
      <c r="A48" s="14"/>
      <c r="B48" s="74" t="s">
        <v>24</v>
      </c>
      <c r="C48" s="139" t="s">
        <v>132</v>
      </c>
      <c r="D48" s="136"/>
      <c r="E48" s="137"/>
      <c r="F48" s="51">
        <f>IF(((TRANSPORTE_POR_DIA*DIAS_UTEIS_TRABALHADOS_NO_MES_44HORAS)-(PERC_DESC_TRANSP_REMUNERACAO%*('TEC SUPORTE JUNIOR'!AL_1_A_SAL_BASE_44H)))&gt;0,((TRANSPORTE_POR_DIA*DIAS_UTEIS_TRABALHADOS_NO_MES_44HORAS)-(PERC_DESC_TRANSP_REMUNERACAO%*('TEC SUPORTE JUNIOR'!AL_1_A_SAL_BASE_44H))),0)</f>
        <v>123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6.5" customHeight="1" x14ac:dyDescent="0.3">
      <c r="A49" s="19"/>
      <c r="B49" s="74" t="s">
        <v>22</v>
      </c>
      <c r="C49" s="135" t="s">
        <v>131</v>
      </c>
      <c r="D49" s="136"/>
      <c r="E49" s="137"/>
      <c r="F49" s="50">
        <f>IF(AND(ADESAO_AO_PAT="Sim",PERC_PAT&lt;&gt;""),ALIMENTACAO_POR_DIA*DIAS_UTEIS_TRABALHADOS_NO_MES_44HORAS*(100-PERC_PAT)%,IF(AND(ADESAO_AO_PAT="Sim",PERC_PAT=""),"Insira o % do PAT",ALIMENTACAO_POR_DIA*DIAS_UTEIS_TRABALHADOS_NO_MES_44HORAS))</f>
        <v>819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6.5" customHeight="1" x14ac:dyDescent="0.3">
      <c r="A50" s="19"/>
      <c r="B50" s="74" t="s">
        <v>20</v>
      </c>
      <c r="C50" s="167" t="str">
        <f>OUTROS_BENEFICIOS_1_DESCRICAO</f>
        <v>Outros Benefícios 1 (Auxilio creche - 20% x 526,64)</v>
      </c>
      <c r="D50" s="136"/>
      <c r="E50" s="137"/>
      <c r="F50" s="51">
        <f>OUTROS_BENEFICIOS_1</f>
        <v>105.328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6.5" customHeight="1" x14ac:dyDescent="0.3">
      <c r="A51" s="19"/>
      <c r="B51" s="74" t="s">
        <v>18</v>
      </c>
      <c r="C51" s="145" t="str">
        <f>OUTROS_BENEFICIOS_2_DESCRICAO</f>
        <v>Outros Benefícios 2 (Especificar)</v>
      </c>
      <c r="D51" s="136"/>
      <c r="E51" s="137"/>
      <c r="F51" s="50">
        <f>OUTROS_BENEFICIOS_2</f>
        <v>0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6.5" customHeight="1" x14ac:dyDescent="0.3">
      <c r="A52" s="19"/>
      <c r="B52" s="74" t="s">
        <v>16</v>
      </c>
      <c r="C52" s="167" t="str">
        <f>OUTROS_BENEFICIOS_3_DESCRICAO</f>
        <v>Outros Benefícios 3 (Especificar)</v>
      </c>
      <c r="D52" s="136"/>
      <c r="E52" s="137"/>
      <c r="F52" s="51">
        <f>OUTROS_BENEFICIOS_3</f>
        <v>0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5" customHeight="1" x14ac:dyDescent="0.3">
      <c r="A53" s="19"/>
      <c r="B53" s="143" t="s">
        <v>6</v>
      </c>
      <c r="C53" s="136"/>
      <c r="D53" s="136"/>
      <c r="E53" s="137"/>
      <c r="F53" s="73">
        <f>SUM(F48:F52)</f>
        <v>1047.328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6.5" customHeight="1" x14ac:dyDescent="0.3">
      <c r="A54" s="19"/>
      <c r="B54" s="32" t="s">
        <v>36</v>
      </c>
      <c r="C54" s="31"/>
      <c r="D54" s="30"/>
      <c r="E54" s="29"/>
      <c r="F54" s="2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5" customHeight="1" x14ac:dyDescent="0.3">
      <c r="A55" s="19"/>
      <c r="B55" s="28">
        <v>3</v>
      </c>
      <c r="C55" s="138" t="s">
        <v>35</v>
      </c>
      <c r="D55" s="137"/>
      <c r="E55" s="23" t="s">
        <v>41</v>
      </c>
      <c r="F55" s="23" t="s">
        <v>125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6.5" customHeight="1" x14ac:dyDescent="0.3">
      <c r="A56" s="19"/>
      <c r="B56" s="28" t="s">
        <v>24</v>
      </c>
      <c r="C56" s="148" t="s">
        <v>84</v>
      </c>
      <c r="D56" s="137"/>
      <c r="E56" s="44">
        <f>PERC_AVISO_PREVIO_IND</f>
        <v>0.29105124999999998</v>
      </c>
      <c r="F56" s="51">
        <f>PERC_AVISO_PREVIO_IND%*('TEC SUPORTE JUNIOR'!MOD_1_REMUNERACAO_44H+SUBMOD_2_1_DEC_TERC_ADIC_FERIAS_44H)</f>
        <v>5.8210249999999997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6.5" customHeight="1" x14ac:dyDescent="0.3">
      <c r="A57" s="19"/>
      <c r="B57" s="23" t="s">
        <v>22</v>
      </c>
      <c r="C57" s="142" t="s">
        <v>82</v>
      </c>
      <c r="D57" s="137"/>
      <c r="E57" s="43">
        <f>INCID_FGTS_SOBRE_API</f>
        <v>2.3284099999999999E-2</v>
      </c>
      <c r="F57" s="50">
        <f>INCID_FGTS_SOBRE_API%*('TEC SUPORTE JUNIOR'!MOD_1_REMUNERACAO_44H+SUBMOD_2_1_DEC_TERC_ADIC_FERIAS_44H)</f>
        <v>0.46568199999999998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6.5" customHeight="1" x14ac:dyDescent="0.25">
      <c r="A58" s="24"/>
      <c r="B58" s="23" t="s">
        <v>20</v>
      </c>
      <c r="C58" s="148" t="s">
        <v>80</v>
      </c>
      <c r="D58" s="137"/>
      <c r="E58" s="44">
        <f>PERC_MULTA_FGTS_AV_PREV_IND</f>
        <v>0.11176368</v>
      </c>
      <c r="F58" s="51">
        <f>PERC_MULTA_FGTS_AV_PREV_IND%*('TEC SUPORTE JUNIOR'!MOD_1_REMUNERACAO_44H+SUBMOD_2_1_DEC_TERC_ADIC_FERIAS_44H)</f>
        <v>2.2352736000000002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6.5" customHeight="1" x14ac:dyDescent="0.25">
      <c r="A59" s="24"/>
      <c r="B59" s="23" t="s">
        <v>18</v>
      </c>
      <c r="C59" s="142" t="s">
        <v>78</v>
      </c>
      <c r="D59" s="137"/>
      <c r="E59" s="43">
        <f>PERC_AVISO_PREVIO_TRAB</f>
        <v>1.1557269305555555</v>
      </c>
      <c r="F59" s="50">
        <f>PERC_AVISO_PREVIO_TRAB%*('TEC SUPORTE JUNIOR'!MOD_1_REMUNERACAO_44H+SUBMOD_2_1_DEC_TERC_ADIC_FERIAS_44H)</f>
        <v>23.114538611111112</v>
      </c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6.5" customHeight="1" x14ac:dyDescent="0.25">
      <c r="A60" s="24"/>
      <c r="B60" s="23" t="s">
        <v>16</v>
      </c>
      <c r="C60" s="148" t="s">
        <v>76</v>
      </c>
      <c r="D60" s="137"/>
      <c r="E60" s="44">
        <f>INCID_SUBMOD_2_2_APT</f>
        <v>0.45997931836111106</v>
      </c>
      <c r="F60" s="51">
        <f>INCID_SUBMOD_2_2_APT%*('TEC SUPORTE JUNIOR'!MOD_1_REMUNERACAO_44H+SUBMOD_2_1_DEC_TERC_ADIC_FERIAS_44H)</f>
        <v>9.1995863672222207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6.5" customHeight="1" x14ac:dyDescent="0.25">
      <c r="A61" s="24"/>
      <c r="B61" s="23" t="s">
        <v>14</v>
      </c>
      <c r="C61" s="142" t="s">
        <v>74</v>
      </c>
      <c r="D61" s="137"/>
      <c r="E61" s="43">
        <f>PERC_MULTA_FGTS_AV_PREV_TRAB</f>
        <v>1.9019963200000001</v>
      </c>
      <c r="F61" s="50">
        <f>PERC_MULTA_FGTS_AV_PREV_TRAB%*('TEC SUPORTE JUNIOR'!MOD_1_REMUNERACAO_44H+SUBMOD_2_1_DEC_TERC_ADIC_FERIAS_44H)</f>
        <v>38.039926399999999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6.5" customHeight="1" x14ac:dyDescent="0.3">
      <c r="A62" s="24"/>
      <c r="B62" s="138" t="s">
        <v>6</v>
      </c>
      <c r="C62" s="136"/>
      <c r="D62" s="136"/>
      <c r="E62" s="137"/>
      <c r="F62" s="71">
        <f>SUM(F56:F61)</f>
        <v>78.87603197833333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7.5" customHeight="1" x14ac:dyDescent="0.3">
      <c r="A63" s="14"/>
      <c r="B63" s="64"/>
      <c r="C63" s="14"/>
      <c r="D63" s="63"/>
      <c r="E63" s="40"/>
      <c r="F63" s="40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3">
      <c r="A64" s="24"/>
      <c r="B64" s="32" t="s">
        <v>29</v>
      </c>
      <c r="C64" s="31"/>
      <c r="D64" s="30"/>
      <c r="E64" s="14"/>
      <c r="F64" s="1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">
      <c r="A65" s="24"/>
      <c r="B65" s="32" t="s">
        <v>28</v>
      </c>
      <c r="C65" s="31"/>
      <c r="D65" s="30"/>
      <c r="E65" s="29"/>
      <c r="F65" s="29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6.5" customHeight="1" x14ac:dyDescent="0.25">
      <c r="A66" s="24"/>
      <c r="B66" s="28" t="s">
        <v>27</v>
      </c>
      <c r="C66" s="143" t="s">
        <v>26</v>
      </c>
      <c r="D66" s="137"/>
      <c r="E66" s="23" t="s">
        <v>41</v>
      </c>
      <c r="F66" s="23" t="s">
        <v>125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25">
      <c r="A67" s="24"/>
      <c r="B67" s="23" t="s">
        <v>24</v>
      </c>
      <c r="C67" s="139" t="s">
        <v>71</v>
      </c>
      <c r="D67" s="137"/>
      <c r="E67" s="44">
        <f>PERC_SUBSTITUTO_FERIAS</f>
        <v>8.3333333333333321</v>
      </c>
      <c r="F67" s="51">
        <f>PERC_SUBSTITUTO_FERIAS%*('TEC SUPORTE JUNIOR'!MOD_1_REMUNERACAO_44H+'TEC SUPORTE JUNIOR'!MOD_2_ENCARGOS_BENEFICIOS_44H)</f>
        <v>320.27733333333327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25">
      <c r="A68" s="24"/>
      <c r="B68" s="23" t="s">
        <v>22</v>
      </c>
      <c r="C68" s="135" t="s">
        <v>69</v>
      </c>
      <c r="D68" s="137"/>
      <c r="E68" s="43">
        <f>PERC_SUBSTITUTO_AUSENCIAS_LEGAIS</f>
        <v>2.2222222222222223</v>
      </c>
      <c r="F68" s="50">
        <f>PERC_SUBSTITUTO_AUSENCIAS_LEGAIS%*('TEC SUPORTE JUNIOR'!MOD_1_REMUNERACAO_44H+'TEC SUPORTE JUNIOR'!MOD_2_ENCARGOS_BENEFICIOS_44H)</f>
        <v>85.407288888888885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25">
      <c r="A69" s="24"/>
      <c r="B69" s="23" t="s">
        <v>20</v>
      </c>
      <c r="C69" s="139" t="s">
        <v>67</v>
      </c>
      <c r="D69" s="137"/>
      <c r="E69" s="44">
        <f>PERC_SUBSTITUTO_LICENCA_PATERNIDADE</f>
        <v>1.7051833333333329E-2</v>
      </c>
      <c r="F69" s="51">
        <f>PERC_SUBSTITUTO_LICENCA_PATERNIDADE%*('TEC SUPORTE JUNIOR'!MOD_1_REMUNERACAO_44H+'TEC SUPORTE JUNIOR'!MOD_2_ENCARGOS_BENEFICIOS_44H)</f>
        <v>0.65535788501333314</v>
      </c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6.5" customHeight="1" x14ac:dyDescent="0.25">
      <c r="A70" s="24"/>
      <c r="B70" s="23" t="s">
        <v>18</v>
      </c>
      <c r="C70" s="135" t="s">
        <v>65</v>
      </c>
      <c r="D70" s="137"/>
      <c r="E70" s="43">
        <f>PERC_SUBSTITUTO_ACID_TRAB</f>
        <v>1.85302229372558E-2</v>
      </c>
      <c r="F70" s="50">
        <f>PERC_SUBSTITUTO_ACID_TRAB%*('TEC SUPORTE JUNIOR'!MOD_1_REMUNERACAO_44H+'TEC SUPORTE JUNIOR'!MOD_2_ENCARGOS_BENEFICIOS_44H)</f>
        <v>0.7121772466099745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6.5" customHeight="1" x14ac:dyDescent="0.25">
      <c r="A71" s="24"/>
      <c r="B71" s="23" t="s">
        <v>16</v>
      </c>
      <c r="C71" s="139" t="s">
        <v>63</v>
      </c>
      <c r="D71" s="137"/>
      <c r="E71" s="44">
        <f>PERC_SUBSTITUTO_AFAST_MATERN</f>
        <v>2.5507554666666658E-2</v>
      </c>
      <c r="F71" s="51">
        <f>PERC_SUBSTITUTO_AFAST_MATERN%*('TEC SUPORTE JUNIOR'!MOD_1_REMUNERACAO_44H+'TEC SUPORTE JUNIOR'!MOD_2_ENCARGOS_BENEFICIOS_44H)</f>
        <v>0.98033899061930629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6.5" customHeight="1" x14ac:dyDescent="0.25">
      <c r="A72" s="24"/>
      <c r="B72" s="23" t="s">
        <v>14</v>
      </c>
      <c r="C72" s="147" t="str">
        <f>OUTRAS_AUSENCIAS_DESCRICAO</f>
        <v>Outras Ausências (Especificar em %)</v>
      </c>
      <c r="D72" s="137"/>
      <c r="E72" s="72">
        <f>PERC_SUBSTITUTO_OUTRAS_AUSENCIAS</f>
        <v>0</v>
      </c>
      <c r="F72" s="50">
        <f>PERC_SUBSTITUTO_OUTRAS_AUSENCIAS%*('TEC SUPORTE JUNIOR'!MOD_1_REMUNERACAO_44H+'TEC SUPORTE JUNIOR'!MOD_2_ENCARGOS_BENEFICIOS_44H)</f>
        <v>0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6.5" customHeight="1" x14ac:dyDescent="0.3">
      <c r="A73" s="24"/>
      <c r="B73" s="138" t="s">
        <v>6</v>
      </c>
      <c r="C73" s="136"/>
      <c r="D73" s="136"/>
      <c r="E73" s="137"/>
      <c r="F73" s="71">
        <f>SUM(F67:F72)</f>
        <v>408.03249634446485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7.5" customHeight="1" x14ac:dyDescent="0.3">
      <c r="A74" s="14"/>
      <c r="B74" s="64"/>
      <c r="C74" s="14"/>
      <c r="D74" s="63"/>
      <c r="E74" s="40"/>
      <c r="F74" s="40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6.5" customHeight="1" x14ac:dyDescent="0.3">
      <c r="A75" s="14"/>
      <c r="B75" s="32" t="s">
        <v>130</v>
      </c>
      <c r="C75" s="31"/>
      <c r="D75" s="31"/>
      <c r="E75" s="29"/>
      <c r="F75" s="29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3">
      <c r="A76" s="14"/>
      <c r="B76" s="70">
        <v>5</v>
      </c>
      <c r="C76" s="163" t="s">
        <v>109</v>
      </c>
      <c r="D76" s="164"/>
      <c r="E76" s="165"/>
      <c r="F76" s="69" t="s">
        <v>125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6.5" customHeight="1" x14ac:dyDescent="0.3">
      <c r="A77" s="14"/>
      <c r="B77" s="67" t="s">
        <v>24</v>
      </c>
      <c r="C77" s="166" t="s">
        <v>129</v>
      </c>
      <c r="D77" s="164"/>
      <c r="E77" s="165"/>
      <c r="F77" s="68">
        <f>UNIFORMES</f>
        <v>0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6.5" customHeight="1" x14ac:dyDescent="0.3">
      <c r="A78" s="14"/>
      <c r="B78" s="67" t="s">
        <v>22</v>
      </c>
      <c r="C78" s="181" t="s">
        <v>128</v>
      </c>
      <c r="D78" s="164"/>
      <c r="E78" s="165"/>
      <c r="F78" s="66">
        <f>MATERIAIS</f>
        <v>0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6.5" customHeight="1" x14ac:dyDescent="0.3">
      <c r="A79" s="14"/>
      <c r="B79" s="67" t="s">
        <v>20</v>
      </c>
      <c r="C79" s="166" t="s">
        <v>127</v>
      </c>
      <c r="D79" s="164"/>
      <c r="E79" s="165"/>
      <c r="F79" s="68">
        <f>EQUIPAMENTOS</f>
        <v>0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6.5" customHeight="1" x14ac:dyDescent="0.3">
      <c r="A80" s="14"/>
      <c r="B80" s="67" t="s">
        <v>18</v>
      </c>
      <c r="C80" s="183" t="str">
        <f>OUTROS_INSUMOS_DESCRICAO</f>
        <v>EPI</v>
      </c>
      <c r="D80" s="164"/>
      <c r="E80" s="165"/>
      <c r="F80" s="66">
        <f>OUTROS_INSUMOS</f>
        <v>0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6.5" customHeight="1" x14ac:dyDescent="0.3">
      <c r="A81" s="14"/>
      <c r="B81" s="163" t="s">
        <v>6</v>
      </c>
      <c r="C81" s="164"/>
      <c r="D81" s="164"/>
      <c r="E81" s="165"/>
      <c r="F81" s="65">
        <f>SUM(F77:F80)</f>
        <v>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7.5" customHeight="1" x14ac:dyDescent="0.3">
      <c r="A82" s="14"/>
      <c r="B82" s="64"/>
      <c r="C82" s="14"/>
      <c r="D82" s="63"/>
      <c r="E82" s="40"/>
      <c r="F82" s="40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" customHeight="1" x14ac:dyDescent="0.3">
      <c r="A83" s="14"/>
      <c r="B83" s="182" t="s">
        <v>126</v>
      </c>
      <c r="C83" s="141"/>
      <c r="D83" s="141"/>
      <c r="E83" s="141"/>
      <c r="F83" s="141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6.5" customHeight="1" x14ac:dyDescent="0.3">
      <c r="A84" s="14"/>
      <c r="B84" s="28">
        <v>6</v>
      </c>
      <c r="C84" s="138" t="s">
        <v>108</v>
      </c>
      <c r="D84" s="137"/>
      <c r="E84" s="23" t="s">
        <v>41</v>
      </c>
      <c r="F84" s="23" t="s">
        <v>125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6.5" customHeight="1" x14ac:dyDescent="0.3">
      <c r="A85" s="14"/>
      <c r="B85" s="28" t="s">
        <v>24</v>
      </c>
      <c r="C85" s="139" t="s">
        <v>124</v>
      </c>
      <c r="D85" s="137"/>
      <c r="E85" s="61">
        <f>PERC_CUSTOS_INDIRETOS</f>
        <v>4.7300000000000004</v>
      </c>
      <c r="F85" s="51">
        <f>PERC_CUSTOS_INDIRETOS%*('TEC SUPORTE JUNIOR'!MOD_1_REMUNERACAO_44H+'TEC SUPORTE JUNIOR'!MOD_2_ENCARGOS_BENEFICIOS_44H+'TEC SUPORTE JUNIOR'!MOD_3_PROVISAO_RESCISAO_44H+'TEC SUPORTE JUNIOR'!MOD_4_CUSTO_REPOSICAO_44H+'TEC SUPORTE JUNIOR'!MOD_5_INSUMOS_44H)</f>
        <v>204.82018778966835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3">
      <c r="A86" s="14"/>
      <c r="B86" s="23" t="s">
        <v>22</v>
      </c>
      <c r="C86" s="135" t="s">
        <v>123</v>
      </c>
      <c r="D86" s="137"/>
      <c r="E86" s="62">
        <f>PERC_LUCRO</f>
        <v>5.57</v>
      </c>
      <c r="F86" s="50">
        <f>PERC_LUCRO%*('TEC SUPORTE JUNIOR'!MOD_1_REMUNERACAO_44H+'TEC SUPORTE JUNIOR'!MOD_2_ENCARGOS_BENEFICIOS_44H+'TEC SUPORTE JUNIOR'!MOD_3_PROVISAO_RESCISAO_44H+'TEC SUPORTE JUNIOR'!MOD_4_CUSTO_REPOSICAO_44H+'TEC SUPORTE JUNIOR'!MOD_5_INSUMOS_44H+'TEC SUPORTE JUNIOR'!AL_6_A_CUSTOS_INDIRETOS_44H)</f>
        <v>252.60265908746436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6.5" customHeight="1" x14ac:dyDescent="0.3">
      <c r="A87" s="14"/>
      <c r="B87" s="23" t="s">
        <v>20</v>
      </c>
      <c r="C87" s="139" t="s">
        <v>122</v>
      </c>
      <c r="D87" s="137"/>
      <c r="E87" s="61">
        <f>SUM(E88:E90)</f>
        <v>8.65</v>
      </c>
      <c r="F87" s="51">
        <f>SUM(F88:F90)</f>
        <v>453.34705632708705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3">
      <c r="A88" s="14"/>
      <c r="B88" s="58" t="s">
        <v>121</v>
      </c>
      <c r="C88" s="194" t="s">
        <v>120</v>
      </c>
      <c r="D88" s="137"/>
      <c r="E88" s="57">
        <f>PERC_PIS</f>
        <v>0.65</v>
      </c>
      <c r="F88" s="56">
        <f>(('TEC SUPORTE JUNIOR'!MOD_1_REMUNERACAO_44H+'TEC SUPORTE JUNIOR'!MOD_2_ENCARGOS_BENEFICIOS_44H+'TEC SUPORTE JUNIOR'!MOD_3_PROVISAO_RESCISAO_44H+'TEC SUPORTE JUNIOR'!MOD_4_CUSTO_REPOSICAO_44H+'TEC SUPORTE JUNIOR'!MOD_5_INSUMOS_44H+'TEC SUPORTE JUNIOR'!AL_6_A_CUSTOS_INDIRETOS_44H+'TEC SUPORTE JUNIOR'!AL_6_B_LUCRO_44H)*PERC_PIS%)/(1-'TEC SUPORTE JUNIOR'!PERC_TRIBUTOS%)</f>
        <v>34.06654180492562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6.5" customHeight="1" x14ac:dyDescent="0.3">
      <c r="A89" s="14"/>
      <c r="B89" s="58" t="s">
        <v>119</v>
      </c>
      <c r="C89" s="195" t="s">
        <v>118</v>
      </c>
      <c r="D89" s="137"/>
      <c r="E89" s="60">
        <f>PERC_COFINS</f>
        <v>3</v>
      </c>
      <c r="F89" s="59">
        <f>(('TEC SUPORTE JUNIOR'!MOD_1_REMUNERACAO_44H+'TEC SUPORTE JUNIOR'!MOD_2_ENCARGOS_BENEFICIOS_44H+'TEC SUPORTE JUNIOR'!MOD_3_PROVISAO_RESCISAO_44H+'TEC SUPORTE JUNIOR'!MOD_4_CUSTO_REPOSICAO_44H+'TEC SUPORTE JUNIOR'!MOD_5_INSUMOS_44H+'TEC SUPORTE JUNIOR'!AL_6_A_CUSTOS_INDIRETOS_44H+'TEC SUPORTE JUNIOR'!AL_6_B_LUCRO_44H)*PERC_COFINS%)/(1-'TEC SUPORTE JUNIOR'!PERC_TRIBUTOS%)</f>
        <v>157.23019294581053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6.5" customHeight="1" x14ac:dyDescent="0.3">
      <c r="A90" s="52"/>
      <c r="B90" s="58" t="s">
        <v>117</v>
      </c>
      <c r="C90" s="194" t="s">
        <v>116</v>
      </c>
      <c r="D90" s="137"/>
      <c r="E90" s="57">
        <f>PERC_ISS</f>
        <v>5</v>
      </c>
      <c r="F90" s="56">
        <f>(('TEC SUPORTE JUNIOR'!MOD_1_REMUNERACAO_44H+'TEC SUPORTE JUNIOR'!MOD_2_ENCARGOS_BENEFICIOS_44H+'TEC SUPORTE JUNIOR'!MOD_3_PROVISAO_RESCISAO_44H+'TEC SUPORTE JUNIOR'!MOD_4_CUSTO_REPOSICAO_44H+'TEC SUPORTE JUNIOR'!MOD_5_INSUMOS_44H+'TEC SUPORTE JUNIOR'!AL_6_A_CUSTOS_INDIRETOS_44H+'TEC SUPORTE JUNIOR'!AL_6_B_LUCRO_44H)*PERC_ISS%)/(1-'TEC SUPORTE JUNIOR'!PERC_TRIBUTOS%)</f>
        <v>262.05032157635088</v>
      </c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6.5" customHeight="1" x14ac:dyDescent="0.3">
      <c r="A91" s="52"/>
      <c r="B91" s="138" t="s">
        <v>6</v>
      </c>
      <c r="C91" s="136"/>
      <c r="D91" s="136"/>
      <c r="E91" s="137"/>
      <c r="F91" s="48">
        <f>'TEC SUPORTE JUNIOR'!AL_6_A_CUSTOS_INDIRETOS_44H+'TEC SUPORTE JUNIOR'!AL_6_B_LUCRO_44H+'TEC SUPORTE JUNIOR'!AL_6_C_TRIBUTOS_44H</f>
        <v>910.76990320421976</v>
      </c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6.5" customHeight="1" x14ac:dyDescent="0.3">
      <c r="A92" s="52"/>
      <c r="B92" s="55" t="s">
        <v>115</v>
      </c>
      <c r="C92" s="15"/>
      <c r="D92" s="15"/>
      <c r="E92" s="15"/>
      <c r="F92" s="54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6.5" customHeight="1" x14ac:dyDescent="0.3">
      <c r="A93" s="53"/>
      <c r="B93" s="23" t="s">
        <v>114</v>
      </c>
      <c r="C93" s="143" t="s">
        <v>113</v>
      </c>
      <c r="D93" s="136"/>
      <c r="E93" s="137"/>
      <c r="F93" s="23" t="s">
        <v>112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6.5" customHeight="1" x14ac:dyDescent="0.3">
      <c r="A94" s="52"/>
      <c r="B94" s="28">
        <v>1</v>
      </c>
      <c r="C94" s="139" t="s">
        <v>58</v>
      </c>
      <c r="D94" s="136"/>
      <c r="E94" s="137"/>
      <c r="F94" s="51">
        <f>'TEC SUPORTE JUNIOR'!MOD_1_REMUNERACAO_44H</f>
        <v>1800</v>
      </c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6.5" customHeight="1" x14ac:dyDescent="0.3">
      <c r="A95" s="49"/>
      <c r="B95" s="23">
        <v>2</v>
      </c>
      <c r="C95" s="135" t="s">
        <v>111</v>
      </c>
      <c r="D95" s="136"/>
      <c r="E95" s="137"/>
      <c r="F95" s="50">
        <f>'TEC SUPORTE JUNIOR'!MOD_2_ENCARGOS_BENEFICIOS_44H</f>
        <v>2043.328</v>
      </c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6.5" customHeight="1" x14ac:dyDescent="0.3">
      <c r="A96" s="49"/>
      <c r="B96" s="23">
        <v>3</v>
      </c>
      <c r="C96" s="139" t="s">
        <v>35</v>
      </c>
      <c r="D96" s="136"/>
      <c r="E96" s="137"/>
      <c r="F96" s="51">
        <f>'TEC SUPORTE JUNIOR'!MOD_3_PROVISAO_RESCISAO_44H</f>
        <v>78.87603197833333</v>
      </c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6.5" customHeight="1" x14ac:dyDescent="0.3">
      <c r="A97" s="49"/>
      <c r="B97" s="23">
        <v>4</v>
      </c>
      <c r="C97" s="135" t="s">
        <v>110</v>
      </c>
      <c r="D97" s="136"/>
      <c r="E97" s="137"/>
      <c r="F97" s="50">
        <f>'TEC SUPORTE JUNIOR'!MOD_4_CUSTO_REPOSICAO_44H</f>
        <v>408.03249634446485</v>
      </c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6.5" customHeight="1" x14ac:dyDescent="0.3">
      <c r="A98" s="49"/>
      <c r="B98" s="23">
        <v>5</v>
      </c>
      <c r="C98" s="139" t="s">
        <v>109</v>
      </c>
      <c r="D98" s="136"/>
      <c r="E98" s="137"/>
      <c r="F98" s="51">
        <f>'TEC SUPORTE JUNIOR'!MOD_5_INSUMOS_44H</f>
        <v>0</v>
      </c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6.5" customHeight="1" x14ac:dyDescent="0.3">
      <c r="A99" s="49"/>
      <c r="B99" s="23">
        <v>6</v>
      </c>
      <c r="C99" s="135" t="s">
        <v>108</v>
      </c>
      <c r="D99" s="136"/>
      <c r="E99" s="137"/>
      <c r="F99" s="50">
        <f>'TEC SUPORTE JUNIOR'!MOD_6_CUSTOS_IND_LUCRO_TRIB_44H</f>
        <v>910.76990320421976</v>
      </c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6.5" customHeight="1" x14ac:dyDescent="0.3">
      <c r="A100" s="14"/>
      <c r="B100" s="143" t="s">
        <v>107</v>
      </c>
      <c r="C100" s="136"/>
      <c r="D100" s="136"/>
      <c r="E100" s="137"/>
      <c r="F100" s="48">
        <f>SUM(F94:F99)</f>
        <v>5241.0064315270183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6.5" customHeight="1" x14ac:dyDescent="0.3">
      <c r="A101" s="14"/>
      <c r="B101" s="143" t="s">
        <v>106</v>
      </c>
      <c r="C101" s="136"/>
      <c r="D101" s="136"/>
      <c r="E101" s="137"/>
      <c r="F101" s="48">
        <f>VALOR_TOTAL_EMPREGADO_44H*'INSERÇÃO-DE-DADOS'!E19</f>
        <v>5241.0064315270183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6.5" customHeight="1" x14ac:dyDescent="0.3">
      <c r="A102" s="14"/>
      <c r="B102" s="143" t="s">
        <v>105</v>
      </c>
      <c r="C102" s="136"/>
      <c r="D102" s="136"/>
      <c r="E102" s="137"/>
      <c r="F102" s="48">
        <f>VALOR_TOTAL_POSTO_44H</f>
        <v>5241.0064315270183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6.5" customHeight="1" x14ac:dyDescent="0.3">
      <c r="A103" s="14"/>
      <c r="B103" s="14"/>
      <c r="C103" s="14"/>
      <c r="D103" s="14"/>
      <c r="E103" s="14"/>
      <c r="F103" s="14"/>
      <c r="G103" s="14"/>
      <c r="H103" s="126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6.5" customHeight="1" x14ac:dyDescent="0.3">
      <c r="A104" s="14"/>
      <c r="B104" s="14" t="s">
        <v>61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6.5" customHeight="1" x14ac:dyDescent="0.3">
      <c r="A105" s="14"/>
      <c r="B105" s="14"/>
      <c r="C105" s="14"/>
      <c r="D105" s="14"/>
      <c r="E105" s="14"/>
      <c r="F105" s="14"/>
      <c r="G105" s="14"/>
      <c r="H105" s="126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6.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6.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6.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6.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6.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6.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6.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6.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6.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6.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6.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6.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6.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6.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6.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6.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6.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6.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6.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6.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6.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6.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6.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6.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6.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6.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6.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6.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6.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6.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6.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6.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6.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6.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6.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6.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6.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6.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6.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6.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6.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6.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6.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6.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6.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6.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6.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6.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6.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6.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6.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6.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6.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6.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6.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6.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6.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6.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6.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6.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6.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6.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6.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6.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6.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6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6.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6.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6.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6.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6.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6.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6.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6.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6.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6.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6.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6.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6.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6.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6.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6.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6.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6.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6.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6.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6.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6.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6.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6.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6.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6.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6.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6.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6.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6.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6.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6.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6.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6.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6.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6.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6.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6.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6.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6.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6.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6.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6.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6.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6.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6.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6.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6.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6.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6.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6.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6.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6.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6.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6.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6.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6.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6.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6.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6.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6.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6.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6.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6.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6.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6.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6.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6.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6.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6.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6.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6.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6.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6.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6.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6.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6.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6.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6.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6.5" customHeight="1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6.5" customHeight="1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6.5" customHeight="1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6.5" customHeight="1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6.5" customHeight="1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6.5" customHeight="1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6.5" customHeight="1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6.5" customHeight="1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6.5" customHeight="1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6.5" customHeight="1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6.5" customHeight="1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6.5" customHeight="1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6.5" customHeight="1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6.5" customHeight="1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6.5" customHeight="1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6.5" customHeight="1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6.5" customHeight="1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6.5" customHeight="1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6.5" customHeight="1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6.5" customHeight="1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6.5" customHeight="1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6.5" customHeight="1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6.5" customHeight="1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6.5" customHeight="1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6.5" customHeight="1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6.5" customHeight="1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6.5" customHeight="1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6.5" customHeight="1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6.5" customHeight="1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6.5" customHeight="1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6.5" customHeight="1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6.5" customHeight="1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6.5" customHeight="1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6.5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6.5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6.5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6.5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6.5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6.5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6.5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6.5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6.5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6.5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6.5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6.5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6.5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6.5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6.5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6.5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6.5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6.5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6.5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6.5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6.5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6.5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6.5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6.5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6.5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6.5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6.5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6.5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6.5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6.5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6.5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6.5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6.5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6.5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6.5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6.5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6.5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6.5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6.5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6.5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6.5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6.5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6.5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6.5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6.5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6.5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6.5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6.5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6.5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6.5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6.5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6.5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6.5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6.5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6.5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6.5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6.5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6.5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6.5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6.5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6.5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6.5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6.5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6.5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6.5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6.5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6.5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6.5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6.5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6.5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6.5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6.5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6.5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6.5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6.5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6.5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6.5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6.5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6.5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6.5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6.5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6.5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6.5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6.5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6.5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6.5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6.5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6.5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6.5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6.5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6.5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6.5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6.5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6.5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6.5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6.5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6.5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6.5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6.5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6.5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6.5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6.5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6.5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6.5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6.5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6.5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6.5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6.5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6.5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6.5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6.5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6.5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6.5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6.5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6.5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6.5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6.5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6.5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6.5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6.5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6.5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6.5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6.5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6.5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6.5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6.5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6.5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6.5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6.5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6.5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6.5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6.5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6.5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6.5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6.5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6.5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6.5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6.5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6.5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6.5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6.5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6.5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6.5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6.5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6.5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6.5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6.5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6.5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6.5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6.5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6.5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6.5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6.5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6.5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6.5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6.5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6.5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6.5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6.5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6.5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6.5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6.5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6.5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6.5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6.5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6.5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6.5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6.5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6.5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6.5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6.5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6.5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6.5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6.5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6.5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6.5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6.5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6.5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6.5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6.5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6.5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6.5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6.5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6.5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6.5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6.5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6.5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6.5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6.5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6.5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6.5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6.5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6.5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6.5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6.5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6.5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6.5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6.5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6.5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6.5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6.5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6.5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6.5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6.5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6.5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6.5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6.5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6.5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6.5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6.5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6.5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6.5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6.5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6.5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6.5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6.5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6.5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6.5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6.5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6.5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6.5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6.5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6.5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6.5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6.5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6.5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6.5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6.5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6.5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6.5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6.5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6.5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6.5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6.5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6.5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6.5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6.5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6.5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6.5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6.5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6.5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6.5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6.5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6.5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6.5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6.5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6.5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6.5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6.5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6.5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6.5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6.5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6.5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6.5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6.5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6.5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6.5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6.5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6.5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6.5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6.5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6.5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6.5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6.5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6.5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6.5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6.5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6.5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6.5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6.5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6.5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6.5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6.5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6.5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6.5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6.5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6.5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6.5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6.5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6.5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6.5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6.5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6.5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6.5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6.5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6.5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6.5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6.5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6.5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6.5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6.5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6.5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6.5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6.5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6.5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6.5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6.5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6.5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6.5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6.5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6.5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6.5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6.5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6.5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6.5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6.5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6.5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6.5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6.5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6.5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6.5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6.5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6.5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6.5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6.5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6.5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6.5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6.5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6.5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6.5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6.5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6.5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6.5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6.5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6.5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6.5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6.5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6.5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6.5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6.5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6.5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6.5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6.5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6.5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6.5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6.5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6.5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6.5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6.5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6.5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6.5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6.5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6.5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6.5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6.5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6.5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6.5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6.5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6.5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6.5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6.5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6.5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6.5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6.5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6.5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6.5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6.5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6.5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6.5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6.5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6.5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6.5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6.5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6.5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6.5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6.5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6.5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6.5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6.5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6.5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6.5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6.5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6.5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6.5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6.5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6.5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6.5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6.5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6.5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6.5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6.5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6.5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6.5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6.5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6.5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6.5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6.5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6.5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6.5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6.5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6.5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6.5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6.5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6.5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6.5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6.5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6.5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6.5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6.5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6.5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6.5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6.5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6.5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6.5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6.5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6.5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6.5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6.5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6.5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6.5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6.5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6.5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6.5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6.5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6.5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6.5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6.5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6.5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6.5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6.5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6.5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6.5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6.5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6.5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6.5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6.5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6.5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6.5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6.5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6.5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6.5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6.5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6.5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6.5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6.5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6.5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6.5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6.5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6.5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6.5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6.5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6.5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6.5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6.5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6.5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6.5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6.5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6.5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6.5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6.5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6.5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6.5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6.5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6.5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6.5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6.5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6.5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6.5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6.5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6.5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6.5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6.5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6.5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6.5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6.5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6.5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6.5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6.5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6.5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6.5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6.5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6.5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6.5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6.5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6.5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6.5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6.5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6.5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6.5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6.5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6.5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6.5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6.5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6.5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6.5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6.5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6.5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6.5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6.5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6.5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6.5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6.5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6.5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6.5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6.5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6.5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6.5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6.5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6.5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6.5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6.5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6.5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6.5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6.5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6.5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6.5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6.5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6.5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6.5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6.5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6.5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6.5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6.5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6.5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6.5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6.5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6.5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6.5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6.5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6.5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6.5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6.5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6.5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6.5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6.5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6.5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6.5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6.5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6.5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6.5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6.5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6.5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6.5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6.5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6.5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6.5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6.5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6.5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6.5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6.5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6.5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6.5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6.5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6.5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6.5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6.5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6.5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6.5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6.5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6.5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6.5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6.5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6.5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6.5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6.5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6.5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6.5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6.5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6.5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6.5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6.5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6.5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6.5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6.5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6.5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6.5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6.5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6.5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6.5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6.5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6.5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6.5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6.5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6.5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6.5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6.5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6.5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6.5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6.5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6.5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6.5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6.5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6.5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6.5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6.5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6.5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6.5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6.5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6.5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6.5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6.5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6.5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6.5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6.5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6.5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6.5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6.5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6.5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6.5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6.5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6.5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6.5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6.5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6.5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6.5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6.5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6.5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6.5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6.5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6.5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6.5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6.5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6.5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6.5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6.5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6.5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6.5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6.5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6.5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6.5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6.5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6.5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6.5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6.5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6.5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6.5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6.5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6.5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6.5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6.5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6.5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6.5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6.5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6.5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6.5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6.5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6.5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6.5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6.5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6.5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6.5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6.5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6.5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6.5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6.5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6.5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6.5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6.5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6.5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6.5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6.5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6.5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6.5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6.5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6.5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6.5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6.5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6.5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6.5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6.5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6.5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6.5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6.5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6.5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6.5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6.5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6.5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6.5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6.5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6.5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6.5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6.5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6.5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6.5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6.5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6.5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6.5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6.5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6.5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6.5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6.5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6.5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6.5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6.5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6.5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6.5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6.5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6.5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6.5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6.5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6.5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6.5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6.5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6.5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6.5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6.5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6.5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6.5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6.5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6.5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6.5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6.5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6.5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6.5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6.5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6.5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6.5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6.5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6.5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6.5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6.5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6.5" customHeight="1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6.5" customHeight="1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6.5" customHeight="1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6.5" customHeight="1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92">
    <mergeCell ref="B101:E101"/>
    <mergeCell ref="B102:E102"/>
    <mergeCell ref="C95:E95"/>
    <mergeCell ref="C96:E96"/>
    <mergeCell ref="C97:E97"/>
    <mergeCell ref="C98:E98"/>
    <mergeCell ref="C99:E99"/>
    <mergeCell ref="B100:E100"/>
    <mergeCell ref="C94:E94"/>
    <mergeCell ref="B81:E81"/>
    <mergeCell ref="B83:F83"/>
    <mergeCell ref="C84:D84"/>
    <mergeCell ref="C85:D85"/>
    <mergeCell ref="C86:D86"/>
    <mergeCell ref="C87:D87"/>
    <mergeCell ref="C88:D88"/>
    <mergeCell ref="C89:D89"/>
    <mergeCell ref="C90:D90"/>
    <mergeCell ref="B91:E91"/>
    <mergeCell ref="C93:E93"/>
    <mergeCell ref="C80:E80"/>
    <mergeCell ref="C67:D67"/>
    <mergeCell ref="C68:D68"/>
    <mergeCell ref="C69:D69"/>
    <mergeCell ref="C70:D70"/>
    <mergeCell ref="C71:D71"/>
    <mergeCell ref="C72:D72"/>
    <mergeCell ref="B73:E73"/>
    <mergeCell ref="C76:E76"/>
    <mergeCell ref="C77:E77"/>
    <mergeCell ref="C78:E78"/>
    <mergeCell ref="C79:E79"/>
    <mergeCell ref="C66:D66"/>
    <mergeCell ref="C51:E51"/>
    <mergeCell ref="C52:E52"/>
    <mergeCell ref="B53:E53"/>
    <mergeCell ref="C55:D55"/>
    <mergeCell ref="C56:D56"/>
    <mergeCell ref="C57:D57"/>
    <mergeCell ref="C58:D58"/>
    <mergeCell ref="C59:D59"/>
    <mergeCell ref="C60:D60"/>
    <mergeCell ref="C61:D61"/>
    <mergeCell ref="B62:E62"/>
    <mergeCell ref="C50:E50"/>
    <mergeCell ref="C38:D38"/>
    <mergeCell ref="C39:D39"/>
    <mergeCell ref="C40:D40"/>
    <mergeCell ref="C41:D41"/>
    <mergeCell ref="C42:D42"/>
    <mergeCell ref="C43:D43"/>
    <mergeCell ref="C44:D44"/>
    <mergeCell ref="B45:E45"/>
    <mergeCell ref="C47:E47"/>
    <mergeCell ref="C48:E48"/>
    <mergeCell ref="C49:E49"/>
    <mergeCell ref="C37:D37"/>
    <mergeCell ref="C24:E24"/>
    <mergeCell ref="C25:E25"/>
    <mergeCell ref="C26:E26"/>
    <mergeCell ref="C27:E27"/>
    <mergeCell ref="B28:E28"/>
    <mergeCell ref="C31:D31"/>
    <mergeCell ref="C32:D32"/>
    <mergeCell ref="C33:D33"/>
    <mergeCell ref="B34:E34"/>
    <mergeCell ref="B35:F35"/>
    <mergeCell ref="C36:D36"/>
    <mergeCell ref="C23:E23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conditionalFormatting sqref="F49">
    <cfRule type="cellIs" dxfId="0" priority="1" operator="equal">
      <formula>"Insira o % do PAT"</formula>
    </cfRule>
  </conditionalFormatting>
  <printOptions horizontalCentered="1"/>
  <pageMargins left="0.08" right="0.05" top="0.19685039370078741" bottom="0.15748031496062992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05DBBE6732E34A84F723F3EE48D8E5" ma:contentTypeVersion="8" ma:contentTypeDescription="Create a new document." ma:contentTypeScope="" ma:versionID="c8d14d9ad555b97e9a25befa2187ea2f">
  <xsd:schema xmlns:xsd="http://www.w3.org/2001/XMLSchema" xmlns:xs="http://www.w3.org/2001/XMLSchema" xmlns:p="http://schemas.microsoft.com/office/2006/metadata/properties" xmlns:ns2="96099fd7-239f-458e-881e-a96b41442542" xmlns:ns3="436ff19e-ffa2-474c-9739-168a11825618" targetNamespace="http://schemas.microsoft.com/office/2006/metadata/properties" ma:root="true" ma:fieldsID="dd6acfd2af9b2d291fceccb44409c173" ns2:_="" ns3:_="">
    <xsd:import namespace="96099fd7-239f-458e-881e-a96b41442542"/>
    <xsd:import namespace="436ff19e-ffa2-474c-9739-168a118256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99fd7-239f-458e-881e-a96b414425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ff19e-ffa2-474c-9739-168a118256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10B322-F77E-4357-82F9-B6ADD7FEF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99fd7-239f-458e-881e-a96b41442542"/>
    <ds:schemaRef ds:uri="436ff19e-ffa2-474c-9739-168a118256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643F60-445B-40F8-8A30-0F5807D9F7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D39CFA-3F05-43A5-884D-CC3668BE077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252</vt:i4>
      </vt:variant>
    </vt:vector>
  </HeadingPairs>
  <TitlesOfParts>
    <vt:vector size="261" baseType="lpstr">
      <vt:lpstr>QUADRO RESUMO</vt:lpstr>
      <vt:lpstr>DADOS-ESTATISTICOS</vt:lpstr>
      <vt:lpstr>ENCARGOS-SOCIAIS-E-TRABALHISTAS</vt:lpstr>
      <vt:lpstr>INSERÇÃO-DE-DADOS</vt:lpstr>
      <vt:lpstr>GERENTE</vt:lpstr>
      <vt:lpstr>TEC SUPORTE SENIOR</vt:lpstr>
      <vt:lpstr>TEC MANUT SENIOR</vt:lpstr>
      <vt:lpstr>ANALISTA SUP SENIOR</vt:lpstr>
      <vt:lpstr>TEC SUPORTE JUNIOR</vt:lpstr>
      <vt:lpstr>ACORDO_COLETIVO</vt:lpstr>
      <vt:lpstr>ADESAO_AO_PAT</vt:lpstr>
      <vt:lpstr>'ANALISTA SUP SENIOR'!AL_1_A_SAL_BASE_44H</vt:lpstr>
      <vt:lpstr>GERENTE!AL_1_A_SAL_BASE_44H</vt:lpstr>
      <vt:lpstr>'TEC MANUT SENIOR'!AL_1_A_SAL_BASE_44H</vt:lpstr>
      <vt:lpstr>'TEC SUPORTE JUNIOR'!AL_1_A_SAL_BASE_44H</vt:lpstr>
      <vt:lpstr>'TEC SUPORTE SENIOR'!AL_1_A_SAL_BASE_44H</vt:lpstr>
      <vt:lpstr>'ANALISTA SUP SENIOR'!AL_1_B_ADIC_PERIC_44H</vt:lpstr>
      <vt:lpstr>GERENTE!AL_1_B_ADIC_PERIC_44H</vt:lpstr>
      <vt:lpstr>'TEC MANUT SENIOR'!AL_1_B_ADIC_PERIC_44H</vt:lpstr>
      <vt:lpstr>'TEC SUPORTE JUNIOR'!AL_1_B_ADIC_PERIC_44H</vt:lpstr>
      <vt:lpstr>'TEC SUPORTE SENIOR'!AL_1_B_ADIC_PERIC_44H</vt:lpstr>
      <vt:lpstr>'ANALISTA SUP SENIOR'!AL_2_1_A_DEC_TERC_44H</vt:lpstr>
      <vt:lpstr>GERENTE!AL_2_1_A_DEC_TERC_44H</vt:lpstr>
      <vt:lpstr>'TEC MANUT SENIOR'!AL_2_1_A_DEC_TERC_44H</vt:lpstr>
      <vt:lpstr>'TEC SUPORTE JUNIOR'!AL_2_1_A_DEC_TERC_44H</vt:lpstr>
      <vt:lpstr>'TEC SUPORTE SENIOR'!AL_2_1_A_DEC_TERC_44H</vt:lpstr>
      <vt:lpstr>'ANALISTA SUP SENIOR'!AL_2_1_B_ADIC_FERIAS_44H</vt:lpstr>
      <vt:lpstr>GERENTE!AL_2_1_B_ADIC_FERIAS_44H</vt:lpstr>
      <vt:lpstr>'TEC MANUT SENIOR'!AL_2_1_B_ADIC_FERIAS_44H</vt:lpstr>
      <vt:lpstr>'TEC SUPORTE JUNIOR'!AL_2_1_B_ADIC_FERIAS_44H</vt:lpstr>
      <vt:lpstr>'TEC SUPORTE SENIOR'!AL_2_1_B_ADIC_FERIAS_44H</vt:lpstr>
      <vt:lpstr>'ANALISTA SUP SENIOR'!AL_2_2_FGTS_44H</vt:lpstr>
      <vt:lpstr>GERENTE!AL_2_2_FGTS_44H</vt:lpstr>
      <vt:lpstr>'TEC MANUT SENIOR'!AL_2_2_FGTS_44H</vt:lpstr>
      <vt:lpstr>'TEC SUPORTE JUNIOR'!AL_2_2_FGTS_44H</vt:lpstr>
      <vt:lpstr>'TEC SUPORTE SENIOR'!AL_2_2_FGTS_44H</vt:lpstr>
      <vt:lpstr>'ANALISTA SUP SENIOR'!AL_2_3_A_TRANSP_44H</vt:lpstr>
      <vt:lpstr>GERENTE!AL_2_3_A_TRANSP_44H</vt:lpstr>
      <vt:lpstr>'TEC MANUT SENIOR'!AL_2_3_A_TRANSP_44H</vt:lpstr>
      <vt:lpstr>'TEC SUPORTE JUNIOR'!AL_2_3_A_TRANSP_44H</vt:lpstr>
      <vt:lpstr>'TEC SUPORTE SENIOR'!AL_2_3_A_TRANSP_44H</vt:lpstr>
      <vt:lpstr>'ANALISTA SUP SENIOR'!AL_2_3_B_AUX_ALIMENT_44H</vt:lpstr>
      <vt:lpstr>GERENTE!AL_2_3_B_AUX_ALIMENT_44H</vt:lpstr>
      <vt:lpstr>'TEC MANUT SENIOR'!AL_2_3_B_AUX_ALIMENT_44H</vt:lpstr>
      <vt:lpstr>'TEC SUPORTE JUNIOR'!AL_2_3_B_AUX_ALIMENT_44H</vt:lpstr>
      <vt:lpstr>'TEC SUPORTE SENIOR'!AL_2_3_B_AUX_ALIMENT_44H</vt:lpstr>
      <vt:lpstr>'ANALISTA SUP SENIOR'!AL_2_3_C_OUTROS_BENEF_44H</vt:lpstr>
      <vt:lpstr>GERENTE!AL_2_3_C_OUTROS_BENEF_44H</vt:lpstr>
      <vt:lpstr>'TEC MANUT SENIOR'!AL_2_3_C_OUTROS_BENEF_44H</vt:lpstr>
      <vt:lpstr>'TEC SUPORTE JUNIOR'!AL_2_3_C_OUTROS_BENEF_44H</vt:lpstr>
      <vt:lpstr>'TEC SUPORTE SENIOR'!AL_2_3_C_OUTROS_BENEF_44H</vt:lpstr>
      <vt:lpstr>'ANALISTA SUP SENIOR'!AL_2_A_ATE_2_G_GPS_44H</vt:lpstr>
      <vt:lpstr>GERENTE!AL_2_A_ATE_2_G_GPS_44H</vt:lpstr>
      <vt:lpstr>'TEC MANUT SENIOR'!AL_2_A_ATE_2_G_GPS_44H</vt:lpstr>
      <vt:lpstr>'TEC SUPORTE JUNIOR'!AL_2_A_ATE_2_G_GPS_44H</vt:lpstr>
      <vt:lpstr>'TEC SUPORTE SENIOR'!AL_2_A_ATE_2_G_GPS_44H</vt:lpstr>
      <vt:lpstr>'ANALISTA SUP SENIOR'!AL_6_A_CUSTOS_INDIRETOS_44H</vt:lpstr>
      <vt:lpstr>GERENTE!AL_6_A_CUSTOS_INDIRETOS_44H</vt:lpstr>
      <vt:lpstr>'TEC MANUT SENIOR'!AL_6_A_CUSTOS_INDIRETOS_44H</vt:lpstr>
      <vt:lpstr>'TEC SUPORTE JUNIOR'!AL_6_A_CUSTOS_INDIRETOS_44H</vt:lpstr>
      <vt:lpstr>'TEC SUPORTE SENIOR'!AL_6_A_CUSTOS_INDIRETOS_44H</vt:lpstr>
      <vt:lpstr>AL_6_A_CUSTOS_INDIRETOS_44H</vt:lpstr>
      <vt:lpstr>'ANALISTA SUP SENIOR'!AL_6_B_LUCRO_44H</vt:lpstr>
      <vt:lpstr>GERENTE!AL_6_B_LUCRO_44H</vt:lpstr>
      <vt:lpstr>'TEC MANUT SENIOR'!AL_6_B_LUCRO_44H</vt:lpstr>
      <vt:lpstr>'TEC SUPORTE JUNIOR'!AL_6_B_LUCRO_44H</vt:lpstr>
      <vt:lpstr>'TEC SUPORTE SENIOR'!AL_6_B_LUCRO_44H</vt:lpstr>
      <vt:lpstr>'ANALISTA SUP SENIOR'!AL_6_C_1_PIS_44H</vt:lpstr>
      <vt:lpstr>GERENTE!AL_6_C_1_PIS_44H</vt:lpstr>
      <vt:lpstr>'TEC MANUT SENIOR'!AL_6_C_1_PIS_44H</vt:lpstr>
      <vt:lpstr>'TEC SUPORTE JUNIOR'!AL_6_C_1_PIS_44H</vt:lpstr>
      <vt:lpstr>'TEC SUPORTE SENIOR'!AL_6_C_1_PIS_44H</vt:lpstr>
      <vt:lpstr>'ANALISTA SUP SENIOR'!AL_6_C_2_COFINS_44H</vt:lpstr>
      <vt:lpstr>GERENTE!AL_6_C_2_COFINS_44H</vt:lpstr>
      <vt:lpstr>'TEC MANUT SENIOR'!AL_6_C_2_COFINS_44H</vt:lpstr>
      <vt:lpstr>'TEC SUPORTE JUNIOR'!AL_6_C_2_COFINS_44H</vt:lpstr>
      <vt:lpstr>'TEC SUPORTE SENIOR'!AL_6_C_2_COFINS_44H</vt:lpstr>
      <vt:lpstr>'ANALISTA SUP SENIOR'!AL_6_C_3_ISS_44H</vt:lpstr>
      <vt:lpstr>GERENTE!AL_6_C_3_ISS_44H</vt:lpstr>
      <vt:lpstr>'TEC MANUT SENIOR'!AL_6_C_3_ISS_44H</vt:lpstr>
      <vt:lpstr>'TEC SUPORTE JUNIOR'!AL_6_C_3_ISS_44H</vt:lpstr>
      <vt:lpstr>'TEC SUPORTE SENIOR'!AL_6_C_3_ISS_44H</vt:lpstr>
      <vt:lpstr>'ANALISTA SUP SENIOR'!AL_6_C_TRIBUTOS_44H</vt:lpstr>
      <vt:lpstr>GERENTE!AL_6_C_TRIBUTOS_44H</vt:lpstr>
      <vt:lpstr>'TEC MANUT SENIOR'!AL_6_C_TRIBUTOS_44H</vt:lpstr>
      <vt:lpstr>'TEC SUPORTE JUNIOR'!AL_6_C_TRIBUTOS_44H</vt:lpstr>
      <vt:lpstr>'TEC SUPORTE SENIOR'!AL_6_C_TRIBUTOS_44H</vt:lpstr>
      <vt:lpstr>ALIMENTACAO_POR_DIA</vt:lpstr>
      <vt:lpstr>BC_ADIC_INSALUB</vt:lpstr>
      <vt:lpstr>CATEGORIA_PROFISSIONAL</vt:lpstr>
      <vt:lpstr>CBO</vt:lpstr>
      <vt:lpstr>DATA_APRESENTACAO_PROPOSTA</vt:lpstr>
      <vt:lpstr>DATA_BASE_CATEGORIA</vt:lpstr>
      <vt:lpstr>DATA_DO_ORCAMENTO_ESTIMATIVO</vt:lpstr>
      <vt:lpstr>DATA_LICITACAO</vt:lpstr>
      <vt:lpstr>DIAS_AUSENCIAS_LEGAIS</vt:lpstr>
      <vt:lpstr>DIAS_LICENCA_MATERNIDADE</vt:lpstr>
      <vt:lpstr>DIAS_LICENCA_PATERNIDADE</vt:lpstr>
      <vt:lpstr>DIAS_NA_SEMANA</vt:lpstr>
      <vt:lpstr>DIAS_NO_ANO</vt:lpstr>
      <vt:lpstr>DIAS_NO_MES</vt:lpstr>
      <vt:lpstr>DIAS_PAGOS_EMPRESA_ACID_TRAB</vt:lpstr>
      <vt:lpstr>DIAS_TRABALHADOS_NO_MES_12X36</vt:lpstr>
      <vt:lpstr>DIAS_UTEIS_TRABALHADOS_NO_MES_44HORAS</vt:lpstr>
      <vt:lpstr>DIVISOR_DE_HORAS</vt:lpstr>
      <vt:lpstr>EMPREG_POR_POSTO</vt:lpstr>
      <vt:lpstr>EQUIPAMENTOS</vt:lpstr>
      <vt:lpstr>FAP</vt:lpstr>
      <vt:lpstr>HORA_NORMAL</vt:lpstr>
      <vt:lpstr>HORA_NOTURNA</vt:lpstr>
      <vt:lpstr>HORARIO_LICITACAO</vt:lpstr>
      <vt:lpstr>INCID_FGTS_SOBRE_API</vt:lpstr>
      <vt:lpstr>INCID_SUBMOD_2_2_APT</vt:lpstr>
      <vt:lpstr>LOCAL_DE_EXECUCAO</vt:lpstr>
      <vt:lpstr>MATERIAIS</vt:lpstr>
      <vt:lpstr>MEDIA_ANUAL_DIAS_TRABALHO_MES</vt:lpstr>
      <vt:lpstr>MESES_NO_ANO</vt:lpstr>
      <vt:lpstr>'ANALISTA SUP SENIOR'!MOD_1_REMUNERACAO_44H</vt:lpstr>
      <vt:lpstr>GERENTE!MOD_1_REMUNERACAO_44H</vt:lpstr>
      <vt:lpstr>'TEC MANUT SENIOR'!MOD_1_REMUNERACAO_44H</vt:lpstr>
      <vt:lpstr>'TEC SUPORTE JUNIOR'!MOD_1_REMUNERACAO_44H</vt:lpstr>
      <vt:lpstr>'TEC SUPORTE SENIOR'!MOD_1_REMUNERACAO_44H</vt:lpstr>
      <vt:lpstr>MOD_1_REMUNERACAO_44H</vt:lpstr>
      <vt:lpstr>'ANALISTA SUP SENIOR'!MOD_3_PROVISAO_RESCISAO_44H</vt:lpstr>
      <vt:lpstr>GERENTE!MOD_3_PROVISAO_RESCISAO_44H</vt:lpstr>
      <vt:lpstr>'TEC MANUT SENIOR'!MOD_3_PROVISAO_RESCISAO_44H</vt:lpstr>
      <vt:lpstr>'TEC SUPORTE JUNIOR'!MOD_3_PROVISAO_RESCISAO_44H</vt:lpstr>
      <vt:lpstr>'TEC SUPORTE SENIOR'!MOD_3_PROVISAO_RESCISAO_44H</vt:lpstr>
      <vt:lpstr>MOD_3_PROVISAO_RESCISAO_44H</vt:lpstr>
      <vt:lpstr>'ANALISTA SUP SENIOR'!MOD_4_CUSTO_REPOSICAO_44H</vt:lpstr>
      <vt:lpstr>GERENTE!MOD_4_CUSTO_REPOSICAO_44H</vt:lpstr>
      <vt:lpstr>'TEC MANUT SENIOR'!MOD_4_CUSTO_REPOSICAO_44H</vt:lpstr>
      <vt:lpstr>'TEC SUPORTE JUNIOR'!MOD_4_CUSTO_REPOSICAO_44H</vt:lpstr>
      <vt:lpstr>'TEC SUPORTE SENIOR'!MOD_4_CUSTO_REPOSICAO_44H</vt:lpstr>
      <vt:lpstr>MOD_4_CUSTO_REPOSICAO_44H</vt:lpstr>
      <vt:lpstr>'ANALISTA SUP SENIOR'!MOD_5_INSUMOS_44H</vt:lpstr>
      <vt:lpstr>GERENTE!MOD_5_INSUMOS_44H</vt:lpstr>
      <vt:lpstr>'TEC MANUT SENIOR'!MOD_5_INSUMOS_44H</vt:lpstr>
      <vt:lpstr>'TEC SUPORTE JUNIOR'!MOD_5_INSUMOS_44H</vt:lpstr>
      <vt:lpstr>'TEC SUPORTE SENIOR'!MOD_5_INSUMOS_44H</vt:lpstr>
      <vt:lpstr>MOD_5_INSUMOS_44H</vt:lpstr>
      <vt:lpstr>'ANALISTA SUP SENIOR'!MOD_6_CUSTOS_IND_LUCRO_TRIB_44H</vt:lpstr>
      <vt:lpstr>GERENTE!MOD_6_CUSTOS_IND_LUCRO_TRIB_44H</vt:lpstr>
      <vt:lpstr>'TEC MANUT SENIOR'!MOD_6_CUSTOS_IND_LUCRO_TRIB_44H</vt:lpstr>
      <vt:lpstr>'TEC SUPORTE JUNIOR'!MOD_6_CUSTOS_IND_LUCRO_TRIB_44H</vt:lpstr>
      <vt:lpstr>'TEC SUPORTE SENIOR'!MOD_6_CUSTOS_IND_LUCRO_TRIB_44H</vt:lpstr>
      <vt:lpstr>MODALIDADE_DE_LICITACAO</vt:lpstr>
      <vt:lpstr>NUMERO_MESES_EXEC_CONTRATUAL</vt:lpstr>
      <vt:lpstr>NUMERO_PREGAO</vt:lpstr>
      <vt:lpstr>NUMERO_PROCESSO</vt:lpstr>
      <vt:lpstr>OUTRAS_AUSENCIAS</vt:lpstr>
      <vt:lpstr>OUTRAS_AUSENCIAS_DESCRICAO</vt:lpstr>
      <vt:lpstr>OUTROS_BENEFICIOS_1</vt:lpstr>
      <vt:lpstr>OUTROS_BENEFICIOS_1_DESCRICAO</vt:lpstr>
      <vt:lpstr>OUTROS_BENEFICIOS_2</vt:lpstr>
      <vt:lpstr>OUTROS_BENEFICIOS_2_DESCRICAO</vt:lpstr>
      <vt:lpstr>OUTROS_BENEFICIOS_3</vt:lpstr>
      <vt:lpstr>OUTROS_BENEFICIOS_3_DESCRICAO</vt:lpstr>
      <vt:lpstr>OUTROS_INSUMOS</vt:lpstr>
      <vt:lpstr>OUTROS_INSUMOS_DESCRICAO</vt:lpstr>
      <vt:lpstr>OUTROS_REMUNERACAO_1</vt:lpstr>
      <vt:lpstr>OUTROS_REMUNERACAO_1_DESCRICAO</vt:lpstr>
      <vt:lpstr>OUTROS_REMUNERACAO_2</vt:lpstr>
      <vt:lpstr>OUTROS_REMUNERACAO_2_DESCRICAO</vt:lpstr>
      <vt:lpstr>OUTROS_REMUNERACAO_3</vt:lpstr>
      <vt:lpstr>OUTROS_REMUNERACAO_3_DESCRICAO</vt:lpstr>
      <vt:lpstr>PERC_ADIC_FERIAS</vt:lpstr>
      <vt:lpstr>PERC_ADIC_INS</vt:lpstr>
      <vt:lpstr>PERC_ADIC_NOT</vt:lpstr>
      <vt:lpstr>PERC_ADIC_PERIC</vt:lpstr>
      <vt:lpstr>PERC_AVISO_PREVIO_IND</vt:lpstr>
      <vt:lpstr>PERC_AVISO_PREVIO_TRAB</vt:lpstr>
      <vt:lpstr>PERC_COFINS</vt:lpstr>
      <vt:lpstr>PERC_CUSTOS_INDIRETOS</vt:lpstr>
      <vt:lpstr>PERC_DEC_TERC</vt:lpstr>
      <vt:lpstr>PERC_DESC_TRANSP_REMUNERACAO</vt:lpstr>
      <vt:lpstr>PERC_EMPREG_AFAST_TRAB</vt:lpstr>
      <vt:lpstr>PERC_EMPREG_AVISO_PREVIO_IND</vt:lpstr>
      <vt:lpstr>PERC_EMPREG_AVISO_PREVIO_TRAB</vt:lpstr>
      <vt:lpstr>PERC_EMPREG_DEMIT_SEM_JUSTA_CAUSA_TOTAL_DESLIG</vt:lpstr>
      <vt:lpstr>PERC_FAP</vt:lpstr>
      <vt:lpstr>PERC_FGTS</vt:lpstr>
      <vt:lpstr>PERC_GPS_FGTS</vt:lpstr>
      <vt:lpstr>PERC_HORA_EXTRA</vt:lpstr>
      <vt:lpstr>PERC_INCRA</vt:lpstr>
      <vt:lpstr>PERC_INSS</vt:lpstr>
      <vt:lpstr>PERC_ISS</vt:lpstr>
      <vt:lpstr>PERC_LUCRO</vt:lpstr>
      <vt:lpstr>'ANALISTA SUP SENIOR'!PERC_MOD_3_PROVISAO_RESCISAO</vt:lpstr>
      <vt:lpstr>GERENTE!PERC_MOD_3_PROVISAO_RESCISAO</vt:lpstr>
      <vt:lpstr>'TEC MANUT SENIOR'!PERC_MOD_3_PROVISAO_RESCISAO</vt:lpstr>
      <vt:lpstr>'TEC SUPORTE JUNIOR'!PERC_MOD_3_PROVISAO_RESCISAO</vt:lpstr>
      <vt:lpstr>'TEC SUPORTE SENIOR'!PERC_MOD_3_PROVISAO_RESCISAO</vt:lpstr>
      <vt:lpstr>PERC_MULTA_FGTS</vt:lpstr>
      <vt:lpstr>PERC_MULTA_FGTS_AV_PREV_IND</vt:lpstr>
      <vt:lpstr>PERC_MULTA_FGTS_AV_PREV_TRAB</vt:lpstr>
      <vt:lpstr>PERC_NASCIDOS_VIVOS_POPUL_FEM</vt:lpstr>
      <vt:lpstr>PERC_PARTIC_FEM_VIGIL</vt:lpstr>
      <vt:lpstr>PERC_PARTIC_MASC_VIGIL</vt:lpstr>
      <vt:lpstr>PERC_PAT</vt:lpstr>
      <vt:lpstr>PERC_PIS</vt:lpstr>
      <vt:lpstr>PERC_RAT</vt:lpstr>
      <vt:lpstr>PERC_SAL_EDUCACAO</vt:lpstr>
      <vt:lpstr>PERC_SEBRAE</vt:lpstr>
      <vt:lpstr>PERC_SENAC</vt:lpstr>
      <vt:lpstr>PERC_SESC</vt:lpstr>
      <vt:lpstr>PERC_SUBSTITUTO_ACID_TRAB</vt:lpstr>
      <vt:lpstr>PERC_SUBSTITUTO_AFAST_MATERN</vt:lpstr>
      <vt:lpstr>PERC_SUBSTITUTO_AUSENCIAS_LEGAIS</vt:lpstr>
      <vt:lpstr>PERC_SUBSTITUTO_FERIAS</vt:lpstr>
      <vt:lpstr>PERC_SUBSTITUTO_LICENCA_PATERNIDADE</vt:lpstr>
      <vt:lpstr>PERC_SUBSTITUTO_OUTRAS_AUSENCIAS</vt:lpstr>
      <vt:lpstr>'ANALISTA SUP SENIOR'!PERC_TRIBUTOS</vt:lpstr>
      <vt:lpstr>GERENTE!PERC_TRIBUTOS</vt:lpstr>
      <vt:lpstr>'TEC MANUT SENIOR'!PERC_TRIBUTOS</vt:lpstr>
      <vt:lpstr>'TEC SUPORTE JUNIOR'!PERC_TRIBUTOS</vt:lpstr>
      <vt:lpstr>'TEC SUPORTE SENIOR'!PERC_TRIBUTOS</vt:lpstr>
      <vt:lpstr>'ANALISTA SUP SENIOR'!QTDE_POSTOS</vt:lpstr>
      <vt:lpstr>GERENTE!QTDE_POSTOS</vt:lpstr>
      <vt:lpstr>'TEC MANUT SENIOR'!QTDE_POSTOS</vt:lpstr>
      <vt:lpstr>'TEC SUPORTE JUNIOR'!QTDE_POSTOS</vt:lpstr>
      <vt:lpstr>'TEC SUPORTE SENIOR'!QTDE_POSTOS</vt:lpstr>
      <vt:lpstr>RAMO</vt:lpstr>
      <vt:lpstr>SAL_MINIMO</vt:lpstr>
      <vt:lpstr>SALARIO_BASE</vt:lpstr>
      <vt:lpstr>'ANALISTA SUP SENIOR'!SUBMOD_2_1_DEC_TERC_ADIC_FERIAS_44H</vt:lpstr>
      <vt:lpstr>'TEC MANUT SENIOR'!SUBMOD_2_1_DEC_TERC_ADIC_FERIAS_44H</vt:lpstr>
      <vt:lpstr>'TEC SUPORTE JUNIOR'!SUBMOD_2_1_DEC_TERC_ADIC_FERIAS_44H</vt:lpstr>
      <vt:lpstr>'TEC SUPORTE SENIOR'!SUBMOD_2_1_DEC_TERC_ADIC_FERIAS_44H</vt:lpstr>
      <vt:lpstr>SUBMOD_2_1_DEC_TERC_ADIC_FERIAS_44H</vt:lpstr>
      <vt:lpstr>'ANALISTA SUP SENIOR'!SUBMOD_2_2_GPS_FGTS_44H</vt:lpstr>
      <vt:lpstr>GERENTE!SUBMOD_2_2_GPS_FGTS_44H</vt:lpstr>
      <vt:lpstr>'TEC MANUT SENIOR'!SUBMOD_2_2_GPS_FGTS_44H</vt:lpstr>
      <vt:lpstr>'TEC SUPORTE JUNIOR'!SUBMOD_2_2_GPS_FGTS_44H</vt:lpstr>
      <vt:lpstr>'TEC SUPORTE SENIOR'!SUBMOD_2_2_GPS_FGTS_44H</vt:lpstr>
      <vt:lpstr>'ANALISTA SUP SENIOR'!SUBMOD_2_3_BENEFICIOS_44H</vt:lpstr>
      <vt:lpstr>GERENTE!SUBMOD_2_3_BENEFICIOS_44H</vt:lpstr>
      <vt:lpstr>'TEC MANUT SENIOR'!SUBMOD_2_3_BENEFICIOS_44H</vt:lpstr>
      <vt:lpstr>'TEC SUPORTE JUNIOR'!SUBMOD_2_3_BENEFICIOS_44H</vt:lpstr>
      <vt:lpstr>'TEC SUPORTE SENIOR'!SUBMOD_2_3_BENEFICIOS_44H</vt:lpstr>
      <vt:lpstr>'ANALISTA SUP SENIOR'!SUBMOD_4_1_SUBSTITUTO_44H</vt:lpstr>
      <vt:lpstr>GERENTE!SUBMOD_4_1_SUBSTITUTO_44H</vt:lpstr>
      <vt:lpstr>'TEC MANUT SENIOR'!SUBMOD_4_1_SUBSTITUTO_44H</vt:lpstr>
      <vt:lpstr>'TEC SUPORTE JUNIOR'!SUBMOD_4_1_SUBSTITUTO_44H</vt:lpstr>
      <vt:lpstr>'TEC SUPORTE SENIOR'!SUBMOD_4_1_SUBSTITUTO_44H</vt:lpstr>
      <vt:lpstr>TEMPO_INTERVALO_REFEICAO_INTERV_INTRA</vt:lpstr>
      <vt:lpstr>TEMPO_INTERVALO_REFEICAO_SUBST_INTRA</vt:lpstr>
      <vt:lpstr>TIPO_DE_SERVICO</vt:lpstr>
      <vt:lpstr>TRANSPORTE_POR_DIA</vt:lpstr>
      <vt:lpstr>UG</vt:lpstr>
      <vt:lpstr>UNIFORMES</vt:lpstr>
      <vt:lpstr>'ANALISTA SUP SENIOR'!VALOR_TOTAL_EMPREGADO_44H</vt:lpstr>
      <vt:lpstr>GERENTE!VALOR_TOTAL_EMPREGADO_44H</vt:lpstr>
      <vt:lpstr>'TEC MANUT SENIOR'!VALOR_TOTAL_EMPREGADO_44H</vt:lpstr>
      <vt:lpstr>'TEC SUPORTE JUNIOR'!VALOR_TOTAL_EMPREGADO_44H</vt:lpstr>
      <vt:lpstr>'TEC SUPORTE SENIOR'!VALOR_TOTAL_EMPREGADO_44H</vt:lpstr>
      <vt:lpstr>'ANALISTA SUP SENIOR'!VALOR_TOTAL_POSTO_44H</vt:lpstr>
      <vt:lpstr>GERENTE!VALOR_TOTAL_POSTO_44H</vt:lpstr>
      <vt:lpstr>'TEC MANUT SENIOR'!VALOR_TOTAL_POSTO_44H</vt:lpstr>
      <vt:lpstr>'TEC SUPORTE JUNIOR'!VALOR_TOTAL_POSTO_44H</vt:lpstr>
      <vt:lpstr>'TEC SUPORTE SENIOR'!VALOR_TOTAL_POSTO_44H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Marciel Rubens da Silva</cp:lastModifiedBy>
  <cp:revision/>
  <dcterms:created xsi:type="dcterms:W3CDTF">2020-08-05T16:17:30Z</dcterms:created>
  <dcterms:modified xsi:type="dcterms:W3CDTF">2026-06-22T20:51:15Z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0x0101004305DBBE6732E34A84F723F3EE48D8E5</vt:lpwstr>
  </property>
</Properties>
</file>