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040A423A-C9DE-443B-99E9-D6388A1CCC18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E76" i="4"/>
  <c r="E64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3" i="2"/>
  <c r="E87" i="5" l="1"/>
  <c r="F81" i="5"/>
  <c r="F98" i="5" s="1"/>
  <c r="F91" i="4"/>
  <c r="F108" i="4" s="1"/>
  <c r="F55" i="4"/>
  <c r="F28" i="5"/>
  <c r="F32" i="5" s="1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94" i="5" l="1"/>
  <c r="F33" i="5"/>
  <c r="F34" i="5" s="1"/>
  <c r="F56" i="5" s="1"/>
  <c r="F39" i="5"/>
  <c r="F61" i="5"/>
  <c r="F44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36" i="4" l="1"/>
  <c r="F63" i="4" s="1"/>
  <c r="E66" i="4"/>
  <c r="F60" i="5"/>
  <c r="F62" i="5" s="1"/>
  <c r="F96" i="5" s="1"/>
  <c r="E60" i="5"/>
  <c r="E71" i="5"/>
  <c r="E77" i="4"/>
  <c r="F45" i="5"/>
  <c r="F71" i="5" s="1"/>
  <c r="F40" i="4"/>
  <c r="F65" i="4"/>
  <c r="F43" i="4" l="1"/>
  <c r="F41" i="4"/>
  <c r="F66" i="4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68" i="4" l="1"/>
  <c r="F106" i="4" s="1"/>
  <c r="F47" i="4"/>
  <c r="F82" i="4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9" i="4" l="1"/>
  <c r="F107" i="4" s="1"/>
  <c r="F97" i="5"/>
  <c r="F85" i="5"/>
  <c r="F86" i="5" s="1"/>
  <c r="F89" i="5" s="1"/>
  <c r="F95" i="4"/>
  <c r="F88" i="5" l="1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<sst xmlns="http://schemas.openxmlformats.org/spreadsheetml/2006/main" count="616" uniqueCount="210">
  <si>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</si>
  <si>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</si>
  <si>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</si>
  <si>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</si>
  <si>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</si>
  <si>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</si>
  <si>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</si>
  <si>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</si>
  <si>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</si>
  <si>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</si>
  <si>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</si>
  <si>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</si>
  <si>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</si>
  <si>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</si>
  <si>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</si>
  <si>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</si>
  <si>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</si>
  <si>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</si>
  <si>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</si>
  <si>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</si>
  <si>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</si>
  <si>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</si>
  <si>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</si>
  <si>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</si>
  <si>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</si>
  <si>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</si>
  <si>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</si>
  <si>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</si>
  <si>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</si>
  <si>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</si>
  <si>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</si>
  <si>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</si>
  <si>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</si>
  <si>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</si>
  <si>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</si>
  <si>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</si>
  <si>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</si>
  <si>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</si>
  <si>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</si>
  <si>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</si>
  <si>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</si>
  <si>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</si>
  <si>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</si>
  <si>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</si>
  <si>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</si>
  <si>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</si>
  <si>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</si>
  <si>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</si>
  <si>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</si>
  <si>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</si>
  <si>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</si>
  <si>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</si>
  <si>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</si>
  <si>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</si>
  <si>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</si>
  <si>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</si>
  <si>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</si>
  <si>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</si>
  <si>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</si>
  <si>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</si>
  <si>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</si>
  <si>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</si>
  <si>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</si>
  <si>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</si>
  <si>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</si>
  <si>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</si>
  <si>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</si>
  <si>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</si>
  <si>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</si>
  <si>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</si>
  <si>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</si>
  <si>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</si>
  <si>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</si>
  <si>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</si>
  <si>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</si>
  <si>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</si>
  <si>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</si>
  <si>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</si>
  <si>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</si>
  <si>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</si>
  <si>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</si>
  <si>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</si>
  <si>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</si>
  <si>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</si>
  <si>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</si>
  <si>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</si>
  <si>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</si>
  <si>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</si>
  <si>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</si>
  <si>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</si>
  <si>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</si>
  <si>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</si>
  <si>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</si>
  <si>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</si>
  <si>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</si>
  <si>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</si>
  <si>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</si>
  <si>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</si>
  <si>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</si>
  <si>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</si>
  <si>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</si>
  <si>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</si>
  <si>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</si>
  <si>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</si>
  <si>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</si>
  <si>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</si>
  <si>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</si>
  <si>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</si>
  <si>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</si>
  <si>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</si>
  <si>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</si>
  <si>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</si>
  <si>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</si>
  <si>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</si>
  <si>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</si>
  <si>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</si>
  <si>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</si>
  <si>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</si>
  <si>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</si>
  <si>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</si>
  <si>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</si>
  <si>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</si>
  <si>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</si>
  <si>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</si>
  <si>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</si>
  <si>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</si>
  <si>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</si>
  <si>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</si>
  <si>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</si>
  <si>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</si>
  <si>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</si>
  <si>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</si>
  <si>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</si>
  <si>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</si>
  <si>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</si>
  <si>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</si>
  <si>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</si>
  <si>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</si>
  <si>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</si>
  <si>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</si>
  <si>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</si>
  <si>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</si>
  <si>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</si>
  <si>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</si>
  <si>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</si>
  <si>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</si>
  <si>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</si>
  <si>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</si>
  <si>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</si>
  <si>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</si>
  <si>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</si>
  <si>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</si>
  <si>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</si>
  <si>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</si>
  <si>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</si>
  <si>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</si>
  <si>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</si>
  <si>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</si>
  <si>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</si>
  <si>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</si>
  <si>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</si>
  <si>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</si>
  <si>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</si>
  <si>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</si>
  <si>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</si>
  <si>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</si>
  <si>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</si>
  <si>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</si>
  <si>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</si>
  <si>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</si>
  <si>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</si>
  <si>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</si>
  <si>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</si>
  <si>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</si>
  <si>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</si>
  <si>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</si>
  <si>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</si>
  <si>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</si>
  <si>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</si>
  <si>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</si>
  <si>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</si>
  <si>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</si>
  <si>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</si>
  <si>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</si>
  <si>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</si>
  <si>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</si>
  <si>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</si>
  <si>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</si>
  <si>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</si>
  <si>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</si>
  <si>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</si>
  <si>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</si>
  <si>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</si>
  <si>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</si>
  <si>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</si>
  <si>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</si>
  <si>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</si>
  <si>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</si>
  <si>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</si>
  <si>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</si>
  <si>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</si>
  <si>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</si>
  <si>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</si>
  <si>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</si>
  <si>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POSTO</t>
  </si>
  <si>
    <t>EPI</t>
  </si>
  <si>
    <t>JARDINEIRO</t>
  </si>
  <si>
    <t>6220-10</t>
  </si>
  <si>
    <t>Materiais insumos</t>
  </si>
  <si>
    <t>Equipamentos de trabalho + armário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</si>
</sst>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4" borderId="2" xfId="0" applyFont="1" applyFill="1" applyBorder="1" applyAlignment="1">
      <alignment horizontal="left" vertical="center" wrapText="1"/>
    </xf>
    <xf numFmtId="0" fontId="3" fillId="0" borderId="4" xfId="0" applyFont="1" applyBorder="1"/>
    <xf numFmtId="0" fontId="7" fillId="5" borderId="2" xfId="0" applyFont="1" applyFill="1" applyBorder="1" applyAlignment="1">
      <alignment horizontal="left" vertical="center"/>
    </xf>
    <xf numFmtId="0" fontId="3" fillId="0" borderId="3" xfId="0" applyFont="1" applyBorder="1"/>
    <xf numFmtId="0" fontId="7" fillId="5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39" fontId="1" fillId="6" borderId="2" xfId="0" applyNumberFormat="1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4" fontId="1" fillId="4" borderId="2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1" fillId="4" borderId="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11" fillId="2" borderId="6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4" fontId="1" fillId="4" borderId="19" xfId="0" applyNumberFormat="1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1" fillId="4" borderId="19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7" fillId="5" borderId="17" xfId="0" applyFont="1" applyFill="1" applyBorder="1" applyAlignment="1">
      <alignment horizontal="left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2" borderId="13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34" workbookViewId="0">
      <selection activeCell="F82" sqref="F8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48" t="s">
        <v>198</v>
      </c>
      <c r="C1" s="146"/>
      <c r="D1" s="146"/>
      <c r="E1" s="146"/>
      <c r="F1" s="14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48" t="s">
        <v>199</v>
      </c>
      <c r="C2" s="146"/>
      <c r="D2" s="147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21" t="s">
        <v>2</v>
      </c>
      <c r="C4" s="122"/>
      <c r="D4" s="122"/>
      <c r="E4" s="122"/>
      <c r="F4" s="12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4" t="s">
        <v>3</v>
      </c>
      <c r="C5" s="125"/>
      <c r="D5" s="125"/>
      <c r="E5" s="125"/>
      <c r="F5" s="12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7" t="s">
        <v>4</v>
      </c>
      <c r="C6" s="107"/>
      <c r="D6" s="149" t="s">
        <v>200</v>
      </c>
      <c r="E6" s="146"/>
      <c r="F6" s="14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9" t="s">
        <v>5</v>
      </c>
      <c r="C7" s="107"/>
      <c r="D7" s="150" t="s">
        <v>6</v>
      </c>
      <c r="E7" s="147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27" t="s">
        <v>8</v>
      </c>
      <c r="C8" s="107"/>
      <c r="D8" s="151" t="s">
        <v>1</v>
      </c>
      <c r="E8" s="147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24" t="s">
        <v>10</v>
      </c>
      <c r="C10" s="125"/>
      <c r="D10" s="125"/>
      <c r="E10" s="125"/>
      <c r="F10" s="12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27" t="s">
        <v>12</v>
      </c>
      <c r="D11" s="109"/>
      <c r="E11" s="107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52" t="s">
        <v>201</v>
      </c>
      <c r="E12" s="146"/>
      <c r="F12" s="14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27" t="s">
        <v>16</v>
      </c>
      <c r="D13" s="109"/>
      <c r="E13" s="107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06" t="s">
        <v>18</v>
      </c>
      <c r="D14" s="109"/>
      <c r="E14" s="107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27" t="s">
        <v>20</v>
      </c>
      <c r="D15" s="109"/>
      <c r="E15" s="107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24" t="s">
        <v>21</v>
      </c>
      <c r="C17" s="125"/>
      <c r="D17" s="125"/>
      <c r="E17" s="125"/>
      <c r="F17" s="12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206</v>
      </c>
      <c r="D19" s="91" t="s">
        <v>204</v>
      </c>
      <c r="E19" s="92">
        <v>1</v>
      </c>
      <c r="F19" s="91">
        <v>1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53" t="s">
        <v>27</v>
      </c>
      <c r="C20" s="154"/>
      <c r="D20" s="154"/>
      <c r="E20" s="155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24" t="s">
        <v>28</v>
      </c>
      <c r="C22" s="125"/>
      <c r="D22" s="125"/>
      <c r="E22" s="125"/>
      <c r="F22" s="12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49" t="s">
        <v>207</v>
      </c>
      <c r="E23" s="146"/>
      <c r="F23" s="14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49"/>
      <c r="E24" s="146"/>
      <c r="F24" s="14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27" t="s">
        <v>31</v>
      </c>
      <c r="D25" s="109"/>
      <c r="E25" s="107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9" t="s">
        <v>32</v>
      </c>
      <c r="D26" s="109"/>
      <c r="E26" s="107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10" t="s">
        <v>35</v>
      </c>
      <c r="D30" s="109"/>
      <c r="E30" s="107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14" t="s">
        <v>37</v>
      </c>
      <c r="D31" s="109"/>
      <c r="E31" s="107"/>
      <c r="F31" s="95">
        <v>2749.17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06" t="s">
        <v>38</v>
      </c>
      <c r="D32" s="109"/>
      <c r="E32" s="107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14" t="s">
        <v>39</v>
      </c>
      <c r="D33" s="109"/>
      <c r="E33" s="107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15" t="s">
        <v>40</v>
      </c>
      <c r="D34" s="109"/>
      <c r="E34" s="107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45" t="s">
        <v>41</v>
      </c>
      <c r="D35" s="146"/>
      <c r="E35" s="147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45" t="s">
        <v>43</v>
      </c>
      <c r="D36" s="146"/>
      <c r="E36" s="147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45" t="s">
        <v>45</v>
      </c>
      <c r="D37" s="146"/>
      <c r="E37" s="147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10" t="s">
        <v>49</v>
      </c>
      <c r="D42" s="109"/>
      <c r="E42" s="107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27" t="s">
        <v>51</v>
      </c>
      <c r="D43" s="109"/>
      <c r="E43" s="107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10" t="s">
        <v>54</v>
      </c>
      <c r="D46" s="107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27" t="s">
        <v>56</v>
      </c>
      <c r="D47" s="107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9" t="s">
        <v>58</v>
      </c>
      <c r="D48" s="107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56" t="s">
        <v>59</v>
      </c>
      <c r="C49" s="109"/>
      <c r="D49" s="107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45" t="s">
        <v>60</v>
      </c>
      <c r="D50" s="147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45" t="s">
        <v>61</v>
      </c>
      <c r="D51" s="147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45" t="s">
        <v>62</v>
      </c>
      <c r="D52" s="147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08" t="s">
        <v>65</v>
      </c>
      <c r="D55" s="109"/>
      <c r="E55" s="107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14" t="s">
        <v>67</v>
      </c>
      <c r="D56" s="109"/>
      <c r="E56" s="107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06" t="s">
        <v>68</v>
      </c>
      <c r="D57" s="109"/>
      <c r="E57" s="107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10" t="s">
        <v>72</v>
      </c>
      <c r="D61" s="109"/>
      <c r="E61" s="107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57" t="s">
        <v>74</v>
      </c>
      <c r="D62" s="146"/>
      <c r="E62" s="147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08" t="s">
        <v>77</v>
      </c>
      <c r="D65" s="109"/>
      <c r="E65" s="107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06" t="s">
        <v>68</v>
      </c>
      <c r="D66" s="109"/>
      <c r="E66" s="107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41" t="s">
        <v>79</v>
      </c>
      <c r="D69" s="138"/>
      <c r="E69" s="139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37" t="s">
        <v>81</v>
      </c>
      <c r="D70" s="138"/>
      <c r="E70" s="139"/>
      <c r="F70" s="103">
        <v>128.15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43" t="s">
        <v>208</v>
      </c>
      <c r="D71" s="138"/>
      <c r="E71" s="139"/>
      <c r="F71" s="103">
        <v>1006.44</v>
      </c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37" t="s">
        <v>209</v>
      </c>
      <c r="D72" s="138"/>
      <c r="E72" s="139"/>
      <c r="F72" s="103">
        <v>250.38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45" t="s">
        <v>205</v>
      </c>
      <c r="D73" s="146"/>
      <c r="E73" s="147"/>
      <c r="F73" s="95">
        <v>79.94</v>
      </c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42" t="s">
        <v>84</v>
      </c>
      <c r="C75" s="122"/>
      <c r="D75" s="122"/>
      <c r="E75" s="122"/>
      <c r="F75" s="123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08" t="s">
        <v>85</v>
      </c>
      <c r="D76" s="109"/>
      <c r="E76" s="107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11" t="s">
        <v>86</v>
      </c>
      <c r="D77" s="109"/>
      <c r="E77" s="107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06" t="s">
        <v>87</v>
      </c>
      <c r="D78" s="109"/>
      <c r="E78" s="107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11" t="s">
        <v>89</v>
      </c>
      <c r="D79" s="109"/>
      <c r="E79" s="107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06" t="s">
        <v>91</v>
      </c>
      <c r="D80" s="109"/>
      <c r="E80" s="107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11" t="s">
        <v>93</v>
      </c>
      <c r="D81" s="109"/>
      <c r="E81" s="107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44" t="s">
        <v>95</v>
      </c>
      <c r="C84" s="122"/>
      <c r="D84" s="122"/>
      <c r="E84" s="122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0">
    <mergeCell ref="C66:E66"/>
    <mergeCell ref="C69:E69"/>
    <mergeCell ref="C70:E70"/>
    <mergeCell ref="C56:E56"/>
    <mergeCell ref="C57:E57"/>
    <mergeCell ref="C61:E61"/>
    <mergeCell ref="C62:E62"/>
    <mergeCell ref="C65:E65"/>
    <mergeCell ref="B49:D49"/>
    <mergeCell ref="C50:D50"/>
    <mergeCell ref="C51:D51"/>
    <mergeCell ref="C52:D52"/>
    <mergeCell ref="C55:E55"/>
    <mergeCell ref="C42:E42"/>
    <mergeCell ref="C43:E43"/>
    <mergeCell ref="C46:D46"/>
    <mergeCell ref="C47:D47"/>
    <mergeCell ref="C48:D48"/>
    <mergeCell ref="C33:E33"/>
    <mergeCell ref="C34:E34"/>
    <mergeCell ref="C35:E35"/>
    <mergeCell ref="C36:E36"/>
    <mergeCell ref="C37:E37"/>
    <mergeCell ref="C25:E25"/>
    <mergeCell ref="C26:E26"/>
    <mergeCell ref="C30:E30"/>
    <mergeCell ref="C31:E31"/>
    <mergeCell ref="C32:E32"/>
    <mergeCell ref="B17:F17"/>
    <mergeCell ref="B20:E20"/>
    <mergeCell ref="B22:F22"/>
    <mergeCell ref="D23:F23"/>
    <mergeCell ref="D24:F24"/>
    <mergeCell ref="C11:E11"/>
    <mergeCell ref="D12:F12"/>
    <mergeCell ref="C13:E13"/>
    <mergeCell ref="C14:E14"/>
    <mergeCell ref="C15:E15"/>
    <mergeCell ref="D7:E7"/>
    <mergeCell ref="B7:C7"/>
    <mergeCell ref="B8:C8"/>
    <mergeCell ref="D8:E8"/>
    <mergeCell ref="B10:F10"/>
    <mergeCell ref="B1:F1"/>
    <mergeCell ref="B2:D2"/>
    <mergeCell ref="B4:F4"/>
    <mergeCell ref="B5:F5"/>
    <mergeCell ref="B6:C6"/>
    <mergeCell ref="D6:F6"/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10" t="s">
        <v>35</v>
      </c>
      <c r="D3" s="109"/>
      <c r="E3" s="107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11" t="s">
        <v>98</v>
      </c>
      <c r="D4" s="109"/>
      <c r="E4" s="107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15" t="s">
        <v>99</v>
      </c>
      <c r="D5" s="109"/>
      <c r="E5" s="107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11" t="s">
        <v>100</v>
      </c>
      <c r="D6" s="109"/>
      <c r="E6" s="107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15" t="s">
        <v>102</v>
      </c>
      <c r="D7" s="109"/>
      <c r="E7" s="107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11" t="s">
        <v>104</v>
      </c>
      <c r="D8" s="109"/>
      <c r="E8" s="107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15" t="s">
        <v>106</v>
      </c>
      <c r="D9" s="109"/>
      <c r="E9" s="107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11" t="s">
        <v>108</v>
      </c>
      <c r="D10" s="109"/>
      <c r="E10" s="107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10" t="s">
        <v>54</v>
      </c>
      <c r="D13" s="107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27" t="s">
        <v>110</v>
      </c>
      <c r="D14" s="107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9" t="s">
        <v>112</v>
      </c>
      <c r="D15" s="107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27" t="s">
        <v>113</v>
      </c>
      <c r="D16" s="107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08" t="s">
        <v>115</v>
      </c>
      <c r="D19" s="109"/>
      <c r="E19" s="107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11" t="s">
        <v>117</v>
      </c>
      <c r="D20" s="109"/>
      <c r="E20" s="107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12" t="s">
        <v>118</v>
      </c>
      <c r="D21" s="109"/>
      <c r="E21" s="107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11" t="s">
        <v>119</v>
      </c>
      <c r="D22" s="109"/>
      <c r="E22" s="107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12" t="s">
        <v>120</v>
      </c>
      <c r="D23" s="109"/>
      <c r="E23" s="107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11" t="s">
        <v>121</v>
      </c>
      <c r="D24" s="109"/>
      <c r="E24" s="107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10" t="s">
        <v>72</v>
      </c>
      <c r="D28" s="109"/>
      <c r="E28" s="107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11" t="s">
        <v>122</v>
      </c>
      <c r="D29" s="109"/>
      <c r="E29" s="107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06" t="s">
        <v>123</v>
      </c>
      <c r="D30" s="109"/>
      <c r="E30" s="107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11" t="s">
        <v>124</v>
      </c>
      <c r="D31" s="109"/>
      <c r="E31" s="107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06" t="s">
        <v>125</v>
      </c>
      <c r="D32" s="109"/>
      <c r="E32" s="107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11" t="s">
        <v>126</v>
      </c>
      <c r="D33" s="109"/>
      <c r="E33" s="107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06" t="s">
        <v>127</v>
      </c>
      <c r="D34" s="109"/>
      <c r="E34" s="107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11" t="s">
        <v>128</v>
      </c>
      <c r="D35" s="109"/>
      <c r="E35" s="107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06" t="s">
        <v>130</v>
      </c>
      <c r="D36" s="109"/>
      <c r="E36" s="107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44" t="s">
        <v>95</v>
      </c>
      <c r="C39" s="122"/>
      <c r="D39" s="122"/>
      <c r="E39" s="122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  <mergeCell ref="C15:D15"/>
    <mergeCell ref="C16:D16"/>
    <mergeCell ref="C19:E19"/>
    <mergeCell ref="C20:E20"/>
    <mergeCell ref="C31:E31"/>
    <mergeCell ref="C8:E8"/>
    <mergeCell ref="C9:E9"/>
    <mergeCell ref="C10:E10"/>
    <mergeCell ref="C13:D13"/>
    <mergeCell ref="C14:D14"/>
    <mergeCell ref="C3:E3"/>
    <mergeCell ref="C4:E4"/>
    <mergeCell ref="C5:E5"/>
    <mergeCell ref="C6:E6"/>
    <mergeCell ref="C7:E7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08" t="s">
        <v>134</v>
      </c>
      <c r="D4" s="107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11" t="s">
        <v>136</v>
      </c>
      <c r="D5" s="107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06" t="s">
        <v>138</v>
      </c>
      <c r="D6" s="107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58" t="s">
        <v>140</v>
      </c>
      <c r="C7" s="154"/>
      <c r="D7" s="154"/>
      <c r="E7" s="154"/>
      <c r="F7" s="155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10" t="s">
        <v>141</v>
      </c>
      <c r="D8" s="107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11" t="s">
        <v>142</v>
      </c>
      <c r="D9" s="107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06" t="s">
        <v>143</v>
      </c>
      <c r="D10" s="107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11" t="s">
        <v>144</v>
      </c>
      <c r="D11" s="107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06" t="s">
        <v>145</v>
      </c>
      <c r="D12" s="107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11" t="s">
        <v>146</v>
      </c>
      <c r="D13" s="107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06" t="s">
        <v>147</v>
      </c>
      <c r="D14" s="107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11" t="s">
        <v>148</v>
      </c>
      <c r="D15" s="107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06" t="s">
        <v>149</v>
      </c>
      <c r="D16" s="107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08" t="s">
        <v>150</v>
      </c>
      <c r="C17" s="109"/>
      <c r="D17" s="107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08" t="s">
        <v>115</v>
      </c>
      <c r="D19" s="107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13" t="s">
        <v>151</v>
      </c>
      <c r="D20" s="107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12" t="s">
        <v>153</v>
      </c>
      <c r="D21" s="107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13" t="s">
        <v>155</v>
      </c>
      <c r="D22" s="107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12" t="s">
        <v>157</v>
      </c>
      <c r="D23" s="107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13" t="s">
        <v>159</v>
      </c>
      <c r="D24" s="107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12" t="s">
        <v>161</v>
      </c>
      <c r="D25" s="107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10" t="s">
        <v>72</v>
      </c>
      <c r="D28" s="107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11" t="s">
        <v>163</v>
      </c>
      <c r="D29" s="107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11" t="s">
        <v>167</v>
      </c>
      <c r="D31" s="107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06" t="s">
        <v>169</v>
      </c>
      <c r="D32" s="107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11" t="s">
        <v>171</v>
      </c>
      <c r="D33" s="107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16" t="str">
        <f>OUTRAS_AUSENCIAS_DESCRICAO</f>
        <v>Outras Ausências (Especificar em %)</v>
      </c>
      <c r="D34" s="107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44" t="s">
        <v>95</v>
      </c>
      <c r="C37" s="122"/>
      <c r="D37" s="122"/>
      <c r="E37" s="122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  <mergeCell ref="C14:D14"/>
    <mergeCell ref="C15:D15"/>
    <mergeCell ref="C16:D16"/>
    <mergeCell ref="B17:D17"/>
    <mergeCell ref="C28:D28"/>
    <mergeCell ref="C9:D9"/>
    <mergeCell ref="C10:D10"/>
    <mergeCell ref="C11:D11"/>
    <mergeCell ref="C12:D12"/>
    <mergeCell ref="C13:D13"/>
    <mergeCell ref="C4:D4"/>
    <mergeCell ref="C5:D5"/>
    <mergeCell ref="C6:D6"/>
    <mergeCell ref="B7:F7"/>
    <mergeCell ref="C8:D8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12x36 HORAS'!QTDE_POSTOS="","",'POSTO 12x36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JARDINEIRO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6220-10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59" t="s">
        <v>184</v>
      </c>
      <c r="D24" s="109"/>
      <c r="E24" s="107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06" t="s">
        <v>185</v>
      </c>
      <c r="D25" s="109"/>
      <c r="E25" s="107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11" t="s">
        <v>186</v>
      </c>
      <c r="D26" s="109"/>
      <c r="E26" s="107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OUTROS_REMUNERACAO_1_DESCRICAO</f>
        <v>Outras Remunerações 1 (Especificar)</v>
      </c>
      <c r="D27" s="109"/>
      <c r="E27" s="107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14" t="str">
        <f>OUTROS_REMUNERACAO_2_DESCRICAO</f>
        <v>Outras Remunerações 2 (Especificar)</v>
      </c>
      <c r="D28" s="109"/>
      <c r="E28" s="107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15" t="str">
        <f>OUTROS_REMUNERACAO_3_DESCRICAO</f>
        <v>Outras Remunerações 3 (Especificar)</v>
      </c>
      <c r="D29" s="109"/>
      <c r="E29" s="107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10" t="s">
        <v>150</v>
      </c>
      <c r="C30" s="109"/>
      <c r="D30" s="109"/>
      <c r="E30" s="107"/>
      <c r="F30" s="27">
        <f>SUM(F22:F29)</f>
        <v>2749.17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08" t="s">
        <v>134</v>
      </c>
      <c r="D33" s="107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11" t="s">
        <v>136</v>
      </c>
      <c r="D34" s="107"/>
      <c r="E34" s="32">
        <f>PERC_DEC_TERC</f>
        <v>8.3333333333333321</v>
      </c>
      <c r="F34" s="33">
        <f>PERC_DEC_TERC%*MOD_1_REMUNERACAO_12X36</f>
        <v>229.09749999999997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06" t="s">
        <v>138</v>
      </c>
      <c r="D35" s="107"/>
      <c r="E35" s="34">
        <f>PERC_ADIC_FERIAS</f>
        <v>2.7777777777777777</v>
      </c>
      <c r="F35" s="35">
        <f>PERC_ADIC_FERIAS%*MOD_1_REMUNERACAO_12X36</f>
        <v>76.365833333333327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08" t="s">
        <v>150</v>
      </c>
      <c r="C36" s="109"/>
      <c r="D36" s="109"/>
      <c r="E36" s="107"/>
      <c r="F36" s="37">
        <f>SUM(F34:F35)</f>
        <v>305.46333333333331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36" t="s">
        <v>140</v>
      </c>
      <c r="C37" s="122"/>
      <c r="D37" s="122"/>
      <c r="E37" s="122"/>
      <c r="F37" s="123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10" t="s">
        <v>141</v>
      </c>
      <c r="D38" s="107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11" t="s">
        <v>142</v>
      </c>
      <c r="D39" s="107"/>
      <c r="E39" s="32">
        <f>PERC_INSS</f>
        <v>20</v>
      </c>
      <c r="F39" s="33">
        <f>PERC_INSS%*(MOD_1_REMUNERACAO_12X36+'POSTO 12x36 HORAS'!SUBMOD_2_1_DEC_TERC_ADIC_FERIAS_12x36+SUBMOD_2_4_INTERVALO_INTRAJORNADA_12X36)</f>
        <v>610.92666666666662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06" t="s">
        <v>143</v>
      </c>
      <c r="D40" s="107"/>
      <c r="E40" s="38">
        <f>PERC_SAL_EDUCACAO</f>
        <v>2.5</v>
      </c>
      <c r="F40" s="35">
        <f>PERC_SAL_EDUCACAO%*(MOD_1_REMUNERACAO_12X36+'POSTO 12x36 HORAS'!SUBMOD_2_1_DEC_TERC_ADIC_FERIAS_12x36)</f>
        <v>76.365833333333327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11" t="s">
        <v>144</v>
      </c>
      <c r="D41" s="107"/>
      <c r="E41" s="32">
        <f>PERC_RAT</f>
        <v>6</v>
      </c>
      <c r="F41" s="33">
        <f>PERC_RAT%*(MOD_1_REMUNERACAO_12X36+'POSTO 12x36 HORAS'!SUBMOD_2_1_DEC_TERC_ADIC_FERIAS_12x36)</f>
        <v>183.27799999999999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06" t="s">
        <v>145</v>
      </c>
      <c r="D42" s="107"/>
      <c r="E42" s="34">
        <f>PERC_SESC</f>
        <v>1.5</v>
      </c>
      <c r="F42" s="35">
        <f>PERC_SESC%*(MOD_1_REMUNERACAO_12X36+'POSTO 12x36 HORAS'!SUBMOD_2_1_DEC_TERC_ADIC_FERIAS_12x36)</f>
        <v>45.819499999999998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11" t="s">
        <v>146</v>
      </c>
      <c r="D43" s="107"/>
      <c r="E43" s="32">
        <f>PERC_SENAC</f>
        <v>1</v>
      </c>
      <c r="F43" s="33">
        <f>PERC_SENAC%*(MOD_1_REMUNERACAO_12X36+'POSTO 12x36 HORAS'!SUBMOD_2_1_DEC_TERC_ADIC_FERIAS_12x36)</f>
        <v>30.546333333333333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06" t="s">
        <v>147</v>
      </c>
      <c r="D44" s="107"/>
      <c r="E44" s="38">
        <f>PERC_SEBRAE</f>
        <v>0.6</v>
      </c>
      <c r="F44" s="35">
        <f>PERC_SEBRAE%*(MOD_1_REMUNERACAO_12X36+'POSTO 12x36 HORAS'!SUBMOD_2_1_DEC_TERC_ADIC_FERIAS_12x36)</f>
        <v>18.3278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11" t="s">
        <v>148</v>
      </c>
      <c r="D45" s="107"/>
      <c r="E45" s="32">
        <f>PERC_INCRA</f>
        <v>0.2</v>
      </c>
      <c r="F45" s="33">
        <f>PERC_INCRA%*(MOD_1_REMUNERACAO_12X36+'POSTO 12x36 HORAS'!SUBMOD_2_1_DEC_TERC_ADIC_FERIAS_12x36)</f>
        <v>6.1092666666666666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06" t="s">
        <v>149</v>
      </c>
      <c r="D46" s="107"/>
      <c r="E46" s="38">
        <f>PERC_FGTS</f>
        <v>8</v>
      </c>
      <c r="F46" s="35">
        <f>PERC_FGTS%*(MOD_1_REMUNERACAO_12X36+'POSTO 12x36 HORAS'!SUBMOD_2_1_DEC_TERC_ADIC_FERIAS_12x36)</f>
        <v>244.37066666666666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08" t="s">
        <v>150</v>
      </c>
      <c r="C47" s="109"/>
      <c r="D47" s="109"/>
      <c r="E47" s="107"/>
      <c r="F47" s="39">
        <f>SUM(F39:F46)</f>
        <v>1215.7440666666666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10" t="s">
        <v>54</v>
      </c>
      <c r="D49" s="109"/>
      <c r="E49" s="107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11" t="s">
        <v>56</v>
      </c>
      <c r="D50" s="109"/>
      <c r="E50" s="107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82.524900000000002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06" t="s">
        <v>58</v>
      </c>
      <c r="D51" s="109"/>
      <c r="E51" s="107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14" t="str">
        <f>OUTROS_BENEFICIOS_1_DESCRICAO</f>
        <v>Outros Benefícios 1 (Especificar)</v>
      </c>
      <c r="D52" s="109"/>
      <c r="E52" s="107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15" t="str">
        <f>OUTROS_BENEFICIOS_2_DESCRICAO</f>
        <v>Outros Benefícios 2 (Especificar)</v>
      </c>
      <c r="D53" s="109"/>
      <c r="E53" s="107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14" t="str">
        <f>OUTROS_BENEFICIOS_3_DESCRICAO</f>
        <v>Outros Benefícios 3 (Especificar)</v>
      </c>
      <c r="D54" s="109"/>
      <c r="E54" s="107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10" t="s">
        <v>150</v>
      </c>
      <c r="C55" s="109"/>
      <c r="D55" s="109"/>
      <c r="E55" s="107"/>
      <c r="F55" s="27">
        <f>SUM(F50:F54)</f>
        <v>778.22490000000005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08" t="s">
        <v>65</v>
      </c>
      <c r="D57" s="109"/>
      <c r="E57" s="107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14" t="s">
        <v>65</v>
      </c>
      <c r="D58" s="109"/>
      <c r="E58" s="107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08" t="s">
        <v>150</v>
      </c>
      <c r="C59" s="109"/>
      <c r="D59" s="109"/>
      <c r="E59" s="107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08" t="s">
        <v>115</v>
      </c>
      <c r="D61" s="107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13" t="s">
        <v>151</v>
      </c>
      <c r="D62" s="107"/>
      <c r="E62" s="32">
        <f>PERC_AVISO_PREVIO_IND</f>
        <v>0.29105124999999998</v>
      </c>
      <c r="F62" s="33">
        <f>PERC_AVISO_PREVIO_IND%*(MOD_1_REMUNERACAO_12X36+'POSTO 12x36 HORAS'!SUBMOD_2_1_DEC_TERC_ADIC_FERIAS_12x36)</f>
        <v>8.8905484995833319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12" t="s">
        <v>153</v>
      </c>
      <c r="D63" s="107"/>
      <c r="E63" s="38">
        <f>INCID_FGTS_SOBRE_API</f>
        <v>2.3284099999999999E-2</v>
      </c>
      <c r="F63" s="35">
        <f>INCID_FGTS_SOBRE_API%*(MOD_1_REMUNERACAO_12X36+'POSTO 12x36 HORAS'!SUBMOD_2_1_DEC_TERC_ADIC_FERIAS_12x36)</f>
        <v>0.7112438799666666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13" t="s">
        <v>155</v>
      </c>
      <c r="D64" s="107"/>
      <c r="E64" s="32">
        <f>PERC_MULTA_FGTS_AV_PREV_IND</f>
        <v>0.11176368</v>
      </c>
      <c r="F64" s="33">
        <f>PERC_MULTA_FGTS_AV_PREV_IND%*(MOD_1_REMUNERACAO_12X36+'POSTO 12x36 HORAS'!SUBMOD_2_1_DEC_TERC_ADIC_FERIAS_12x36)</f>
        <v>3.4139706238400001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12" t="s">
        <v>157</v>
      </c>
      <c r="D65" s="107"/>
      <c r="E65" s="38">
        <f>PERC_AVISO_PREVIO_TRAB</f>
        <v>1.1557269305555555</v>
      </c>
      <c r="F65" s="35">
        <f>PERC_AVISO_PREVIO_TRAB%*(MOD_1_REMUNERACAO_12X36+'POSTO 12x36 HORAS'!SUBMOD_2_1_DEC_TERC_ADIC_FERIAS_12x36)</f>
        <v>35.303220063060181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13" t="s">
        <v>159</v>
      </c>
      <c r="D66" s="107"/>
      <c r="E66" s="32">
        <f>INCID_SUBMOD_2_2_APT</f>
        <v>0.45997931836111106</v>
      </c>
      <c r="F66" s="33">
        <f>E66%*(MOD_1_REMUNERACAO_12X36+'POSTO 12x36 HORAS'!SUBMOD_2_1_DEC_TERC_ADIC_FERIAS_12x36)</f>
        <v>14.050681585097951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12" t="s">
        <v>161</v>
      </c>
      <c r="D67" s="107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58.099013589493332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08" t="s">
        <v>150</v>
      </c>
      <c r="C68" s="109"/>
      <c r="D68" s="109"/>
      <c r="E68" s="107"/>
      <c r="F68" s="37">
        <f>SUM(F62:F67)</f>
        <v>120.46867824104146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10" t="s">
        <v>72</v>
      </c>
      <c r="D72" s="107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11" t="s">
        <v>163</v>
      </c>
      <c r="D73" s="107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420.71685833333328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06" t="s">
        <v>165</v>
      </c>
      <c r="D74" s="107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112.19116222222223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11" t="s">
        <v>167</v>
      </c>
      <c r="D75" s="107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0.86087924985883313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06" t="s">
        <v>169</v>
      </c>
      <c r="D76" s="107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0.93551726140542391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11" t="s">
        <v>171</v>
      </c>
      <c r="D77" s="107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1.2877749915750905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16" t="str">
        <f>OUTRAS_AUSENCIAS_DESCRICAO</f>
        <v>Outras Ausências (Especificar em %)</v>
      </c>
      <c r="D78" s="107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08" t="s">
        <v>150</v>
      </c>
      <c r="C79" s="109"/>
      <c r="D79" s="109"/>
      <c r="E79" s="107"/>
      <c r="F79" s="37">
        <f>SUM(F73:F78)</f>
        <v>535.99219205839483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08" t="s">
        <v>77</v>
      </c>
      <c r="D81" s="109"/>
      <c r="E81" s="107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11" t="s">
        <v>187</v>
      </c>
      <c r="D82" s="109"/>
      <c r="E82" s="107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08" t="s">
        <v>150</v>
      </c>
      <c r="C83" s="109"/>
      <c r="D83" s="109"/>
      <c r="E83" s="107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41" t="s">
        <v>79</v>
      </c>
      <c r="D86" s="138"/>
      <c r="E86" s="139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37" t="s">
        <v>81</v>
      </c>
      <c r="D87" s="138"/>
      <c r="E87" s="139"/>
      <c r="F87" s="46">
        <f>UNIFORMES</f>
        <v>128.15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43" t="s">
        <v>82</v>
      </c>
      <c r="D88" s="138"/>
      <c r="E88" s="139"/>
      <c r="F88" s="47">
        <f>MATERIAIS</f>
        <v>1006.44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37" t="s">
        <v>83</v>
      </c>
      <c r="D89" s="138"/>
      <c r="E89" s="139"/>
      <c r="F89" s="46">
        <f>EQUIPAMENTOS</f>
        <v>250.38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40" t="str">
        <f>OUTROS_INSUMOS_DESCRICAO</f>
        <v>EPI</v>
      </c>
      <c r="D90" s="138"/>
      <c r="E90" s="139"/>
      <c r="F90" s="47">
        <f>OUTROS_INSUMOS</f>
        <v>79.94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41" t="s">
        <v>150</v>
      </c>
      <c r="C91" s="138"/>
      <c r="D91" s="138"/>
      <c r="E91" s="139"/>
      <c r="F91" s="48">
        <f>SUM(F87:F90)</f>
        <v>1464.9100000000003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42" t="s">
        <v>84</v>
      </c>
      <c r="C93" s="122"/>
      <c r="D93" s="122"/>
      <c r="E93" s="122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08" t="s">
        <v>85</v>
      </c>
      <c r="D94" s="107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11" t="s">
        <v>86</v>
      </c>
      <c r="D95" s="107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339.13973095516343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06" t="s">
        <v>87</v>
      </c>
      <c r="D96" s="107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418.25758859988127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11" t="s">
        <v>188</v>
      </c>
      <c r="D97" s="107"/>
      <c r="E97" s="49">
        <f t="shared" ref="E97:F97" si="0">SUM(E98:E100)</f>
        <v>8.65</v>
      </c>
      <c r="F97" s="33">
        <f t="shared" si="0"/>
        <v>750.64865612743597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17" t="s">
        <v>89</v>
      </c>
      <c r="D98" s="107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56.407124448882477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18" t="s">
        <v>91</v>
      </c>
      <c r="D99" s="107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260.34057437945756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17" t="s">
        <v>93</v>
      </c>
      <c r="D100" s="107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433.90095729909592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08" t="s">
        <v>150</v>
      </c>
      <c r="C101" s="109"/>
      <c r="D101" s="109"/>
      <c r="E101" s="107"/>
      <c r="F101" s="57">
        <f>'POSTO 12x36 HORAS'!AL_6_A_CUSTOS_INDIRETOS_12x36+'POSTO 12x36 HORAS'!AL_6_B_LUCRO_12x36+'POSTO 12x36 HORAS'!AL_6_C_TRIBUTOS_12x36</f>
        <v>1508.0459756824807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10" t="s">
        <v>191</v>
      </c>
      <c r="D103" s="109"/>
      <c r="E103" s="107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11" t="s">
        <v>35</v>
      </c>
      <c r="D104" s="109"/>
      <c r="E104" s="107"/>
      <c r="F104" s="33">
        <f>MOD_1_REMUNERACAO_12X36</f>
        <v>2749.17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06" t="s">
        <v>193</v>
      </c>
      <c r="D105" s="109"/>
      <c r="E105" s="107"/>
      <c r="F105" s="35">
        <f>'POSTO 12x36 HORAS'!MOD_2_ENCARGOS_BENEFICIOS_12x36</f>
        <v>2299.4322999999999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11" t="s">
        <v>115</v>
      </c>
      <c r="D106" s="109"/>
      <c r="E106" s="107"/>
      <c r="F106" s="33">
        <f>'POSTO 12x36 HORAS'!MOD_3_PROVISAO_RESCISAO_12x36</f>
        <v>120.46867824104146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06" t="s">
        <v>194</v>
      </c>
      <c r="D107" s="109"/>
      <c r="E107" s="107"/>
      <c r="F107" s="35">
        <f>'POSTO 12x36 HORAS'!MOD_4_CUSTO_REPOSICAO_12x36</f>
        <v>535.99219205839483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11" t="s">
        <v>79</v>
      </c>
      <c r="D108" s="109"/>
      <c r="E108" s="107"/>
      <c r="F108" s="33">
        <f>'POSTO 12x36 HORAS'!MOD_5_INSUMOS_12x36</f>
        <v>1464.9100000000003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06" t="s">
        <v>85</v>
      </c>
      <c r="D109" s="109"/>
      <c r="E109" s="107"/>
      <c r="F109" s="35">
        <f>'POSTO 12x36 HORAS'!MOD_6_CUSTOS_IND_LUCRO_TRIB_12x36</f>
        <v>1508.0459756824807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10" t="s">
        <v>195</v>
      </c>
      <c r="C110" s="109"/>
      <c r="D110" s="109"/>
      <c r="E110" s="107"/>
      <c r="F110" s="57">
        <f>SUM(F104:F109)</f>
        <v>8678.019145981918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10" t="s">
        <v>196</v>
      </c>
      <c r="C111" s="109"/>
      <c r="D111" s="109"/>
      <c r="E111" s="107"/>
      <c r="F111" s="57">
        <f>'POSTO 12x36 HORAS'!VALOR_TOTAL_EMPREGADO_12x36*EMPREG_POR_POSTO</f>
        <v>8678.019145981918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10" t="s">
        <v>197</v>
      </c>
      <c r="C112" s="109"/>
      <c r="D112" s="109"/>
      <c r="E112" s="107"/>
      <c r="F112" s="57">
        <f>'POSTO 12x36 HORAS'!VALOR_TOTAL_EMPREGADO_12x36*EMPREG_POR_POSTO*'POSTO 12x36 HORAS'!QTDE_POSTOS</f>
        <v>8678.019145981918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  <mergeCell ref="C38:D38"/>
    <mergeCell ref="C39:D39"/>
    <mergeCell ref="C40:D40"/>
    <mergeCell ref="C41:D41"/>
    <mergeCell ref="C42:D42"/>
    <mergeCell ref="C33:D33"/>
    <mergeCell ref="C34:D34"/>
    <mergeCell ref="C35:D35"/>
    <mergeCell ref="B36:E36"/>
    <mergeCell ref="B37:F37"/>
    <mergeCell ref="C26:E26"/>
    <mergeCell ref="C27:E27"/>
    <mergeCell ref="C28:E28"/>
    <mergeCell ref="C29:E29"/>
    <mergeCell ref="B30:E30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C96:D96"/>
    <mergeCell ref="C97:D97"/>
    <mergeCell ref="C98:D98"/>
    <mergeCell ref="C99:D99"/>
    <mergeCell ref="C100:D100"/>
    <mergeCell ref="C90:E90"/>
    <mergeCell ref="B91:E91"/>
    <mergeCell ref="B93:F93"/>
    <mergeCell ref="C94:D94"/>
    <mergeCell ref="C95:D95"/>
    <mergeCell ref="C88:E88"/>
    <mergeCell ref="C89:E89"/>
    <mergeCell ref="B83:E83"/>
    <mergeCell ref="C86:E86"/>
    <mergeCell ref="C87:E87"/>
    <mergeCell ref="C65:D65"/>
    <mergeCell ref="C66:D66"/>
    <mergeCell ref="B55:E55"/>
    <mergeCell ref="C57:E57"/>
    <mergeCell ref="C58:E58"/>
    <mergeCell ref="B59:E59"/>
    <mergeCell ref="C61:D61"/>
    <mergeCell ref="C50:E50"/>
    <mergeCell ref="C51:E51"/>
    <mergeCell ref="C52:E52"/>
    <mergeCell ref="C53:E53"/>
    <mergeCell ref="C54:E54"/>
    <mergeCell ref="C44:D44"/>
    <mergeCell ref="C45:D45"/>
    <mergeCell ref="C46:D46"/>
    <mergeCell ref="B47:E47"/>
    <mergeCell ref="C49:E49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topLeftCell="A60" workbookViewId="0">
      <selection activeCell="G87" sqref="G87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40 HORAS'!QTDE_POSTOS="","",'POSTO 40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JARDINEIRO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6220-10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11" t="s">
        <v>186</v>
      </c>
      <c r="D24" s="109"/>
      <c r="E24" s="107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15" t="str">
        <f>OUTROS_REMUNERACAO_1_DESCRICAO</f>
        <v>Outras Remunerações 1 (Especificar)</v>
      </c>
      <c r="D25" s="109"/>
      <c r="E25" s="107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14" t="str">
        <f>OUTROS_REMUNERACAO_2_DESCRICAO</f>
        <v>Outras Remunerações 2 (Especificar)</v>
      </c>
      <c r="D26" s="109"/>
      <c r="E26" s="107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OUTROS_REMUNERACAO_3_DESCRICAO</f>
        <v>Outras Remunerações 3 (Especificar)</v>
      </c>
      <c r="D27" s="109"/>
      <c r="E27" s="107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10" t="s">
        <v>150</v>
      </c>
      <c r="C28" s="109"/>
      <c r="D28" s="109"/>
      <c r="E28" s="107"/>
      <c r="F28" s="27">
        <f>SUM(F22:F27)</f>
        <v>2749.17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08" t="s">
        <v>134</v>
      </c>
      <c r="D31" s="107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11" t="s">
        <v>136</v>
      </c>
      <c r="D32" s="107"/>
      <c r="E32" s="32">
        <f>PERC_DEC_TERC</f>
        <v>8.3333333333333321</v>
      </c>
      <c r="F32" s="33">
        <f>PERC_DEC_TERC%*'POSTO 40 HORAS'!MOD_1_REMUNERACAO_44H</f>
        <v>229.09749999999997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06" t="s">
        <v>138</v>
      </c>
      <c r="D33" s="107"/>
      <c r="E33" s="34">
        <f>PERC_ADIC_FERIAS</f>
        <v>2.7777777777777777</v>
      </c>
      <c r="F33" s="35">
        <f>PERC_ADIC_FERIAS%*'POSTO 40 HORAS'!MOD_1_REMUNERACAO_44H</f>
        <v>76.365833333333327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08" t="s">
        <v>150</v>
      </c>
      <c r="C34" s="109"/>
      <c r="D34" s="109"/>
      <c r="E34" s="107"/>
      <c r="F34" s="37">
        <f>SUM(F32:F33)</f>
        <v>305.46333333333331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36" t="s">
        <v>140</v>
      </c>
      <c r="C35" s="122"/>
      <c r="D35" s="122"/>
      <c r="E35" s="122"/>
      <c r="F35" s="123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10" t="s">
        <v>141</v>
      </c>
      <c r="D36" s="107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11" t="s">
        <v>142</v>
      </c>
      <c r="D37" s="107"/>
      <c r="E37" s="32">
        <f>PERC_INSS</f>
        <v>20</v>
      </c>
      <c r="F37" s="33">
        <f>PERC_INSS%*('POSTO 40 HORAS'!MOD_1_REMUNERACAO_44H+SUBMOD_2_1_DEC_TERC_ADIC_FERIAS_44H)</f>
        <v>610.92666666666662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06" t="s">
        <v>143</v>
      </c>
      <c r="D38" s="107"/>
      <c r="E38" s="38">
        <f>PERC_SAL_EDUCACAO</f>
        <v>2.5</v>
      </c>
      <c r="F38" s="35">
        <f>PERC_SAL_EDUCACAO%*('POSTO 40 HORAS'!MOD_1_REMUNERACAO_44H+SUBMOD_2_1_DEC_TERC_ADIC_FERIAS_44H)</f>
        <v>76.365833333333327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11" t="s">
        <v>144</v>
      </c>
      <c r="D39" s="107"/>
      <c r="E39" s="32">
        <f>PERC_RAT</f>
        <v>6</v>
      </c>
      <c r="F39" s="33">
        <f>PERC_RAT%*('POSTO 40 HORAS'!MOD_1_REMUNERACAO_44H+SUBMOD_2_1_DEC_TERC_ADIC_FERIAS_44H)</f>
        <v>183.27799999999999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06" t="s">
        <v>145</v>
      </c>
      <c r="D40" s="107"/>
      <c r="E40" s="34">
        <f>PERC_SESC</f>
        <v>1.5</v>
      </c>
      <c r="F40" s="35">
        <f>PERC_SESC%*('POSTO 40 HORAS'!MOD_1_REMUNERACAO_44H+SUBMOD_2_1_DEC_TERC_ADIC_FERIAS_44H)</f>
        <v>45.819499999999998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11" t="s">
        <v>146</v>
      </c>
      <c r="D41" s="107"/>
      <c r="E41" s="32">
        <f>PERC_SENAC</f>
        <v>1</v>
      </c>
      <c r="F41" s="33">
        <f>PERC_SENAC%*('POSTO 40 HORAS'!MOD_1_REMUNERACAO_44H+SUBMOD_2_1_DEC_TERC_ADIC_FERIAS_44H)</f>
        <v>30.546333333333333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06" t="s">
        <v>147</v>
      </c>
      <c r="D42" s="107"/>
      <c r="E42" s="38">
        <f>PERC_SEBRAE</f>
        <v>0.6</v>
      </c>
      <c r="F42" s="35">
        <f>PERC_SEBRAE%*('POSTO 40 HORAS'!MOD_1_REMUNERACAO_44H+SUBMOD_2_1_DEC_TERC_ADIC_FERIAS_44H)</f>
        <v>18.3278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11" t="s">
        <v>148</v>
      </c>
      <c r="D43" s="107"/>
      <c r="E43" s="32">
        <f>PERC_INCRA</f>
        <v>0.2</v>
      </c>
      <c r="F43" s="33">
        <f>PERC_INCRA%*('POSTO 40 HORAS'!MOD_1_REMUNERACAO_44H+SUBMOD_2_1_DEC_TERC_ADIC_FERIAS_44H)</f>
        <v>6.1092666666666666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06" t="s">
        <v>149</v>
      </c>
      <c r="D44" s="107"/>
      <c r="E44" s="38">
        <f>PERC_FGTS</f>
        <v>8</v>
      </c>
      <c r="F44" s="35">
        <f>PERC_FGTS%*('POSTO 40 HORAS'!MOD_1_REMUNERACAO_44H+SUBMOD_2_1_DEC_TERC_ADIC_FERIAS_44H)</f>
        <v>244.37066666666666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08" t="s">
        <v>150</v>
      </c>
      <c r="C45" s="109"/>
      <c r="D45" s="109"/>
      <c r="E45" s="107"/>
      <c r="F45" s="39">
        <f>SUM(F37:F44)</f>
        <v>1215.7440666666666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10" t="s">
        <v>54</v>
      </c>
      <c r="D47" s="109"/>
      <c r="E47" s="107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11" t="s">
        <v>56</v>
      </c>
      <c r="D48" s="109"/>
      <c r="E48" s="107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66.049800000000005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06" t="s">
        <v>58</v>
      </c>
      <c r="D49" s="109"/>
      <c r="E49" s="107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14" t="str">
        <f>OUTROS_BENEFICIOS_1_DESCRICAO</f>
        <v>Outros Benefícios 1 (Especificar)</v>
      </c>
      <c r="D50" s="109"/>
      <c r="E50" s="107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15" t="str">
        <f>OUTROS_BENEFICIOS_2_DESCRICAO</f>
        <v>Outros Benefícios 2 (Especificar)</v>
      </c>
      <c r="D51" s="109"/>
      <c r="E51" s="107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14" t="str">
        <f>OUTROS_BENEFICIOS_3_DESCRICAO</f>
        <v>Outros Benefícios 3 (Especificar)</v>
      </c>
      <c r="D52" s="109"/>
      <c r="E52" s="107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10" t="s">
        <v>150</v>
      </c>
      <c r="C53" s="109"/>
      <c r="D53" s="109"/>
      <c r="E53" s="107"/>
      <c r="F53" s="27">
        <f>SUM(F48:F52)</f>
        <v>1040.0298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08" t="s">
        <v>115</v>
      </c>
      <c r="D55" s="107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13" t="s">
        <v>151</v>
      </c>
      <c r="D56" s="107"/>
      <c r="E56" s="32">
        <f>PERC_AVISO_PREVIO_IND</f>
        <v>0.29105124999999998</v>
      </c>
      <c r="F56" s="33">
        <f>PERC_AVISO_PREVIO_IND%*('POSTO 40 HORAS'!MOD_1_REMUNERACAO_44H+SUBMOD_2_1_DEC_TERC_ADIC_FERIAS_44H)</f>
        <v>8.8905484995833319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12" t="s">
        <v>153</v>
      </c>
      <c r="D57" s="107"/>
      <c r="E57" s="38">
        <f>INCID_FGTS_SOBRE_API</f>
        <v>2.3284099999999999E-2</v>
      </c>
      <c r="F57" s="35">
        <f>INCID_FGTS_SOBRE_API%*('POSTO 40 HORAS'!MOD_1_REMUNERACAO_44H+SUBMOD_2_1_DEC_TERC_ADIC_FERIAS_44H)</f>
        <v>0.7112438799666666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13" t="s">
        <v>155</v>
      </c>
      <c r="D58" s="107"/>
      <c r="E58" s="32">
        <f>PERC_MULTA_FGTS_AV_PREV_IND</f>
        <v>0.11176368</v>
      </c>
      <c r="F58" s="33">
        <f>PERC_MULTA_FGTS_AV_PREV_IND%*('POSTO 40 HORAS'!MOD_1_REMUNERACAO_44H+SUBMOD_2_1_DEC_TERC_ADIC_FERIAS_44H)</f>
        <v>3.4139706238400001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12" t="s">
        <v>157</v>
      </c>
      <c r="D59" s="107"/>
      <c r="E59" s="38">
        <f>PERC_AVISO_PREVIO_TRAB</f>
        <v>1.1557269305555555</v>
      </c>
      <c r="F59" s="35">
        <f>PERC_AVISO_PREVIO_TRAB%*('POSTO 40 HORAS'!MOD_1_REMUNERACAO_44H+SUBMOD_2_1_DEC_TERC_ADIC_FERIAS_44H)</f>
        <v>35.303220063060181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13" t="s">
        <v>159</v>
      </c>
      <c r="D60" s="107"/>
      <c r="E60" s="32">
        <f>INCID_SUBMOD_2_2_APT</f>
        <v>0.45997931836111106</v>
      </c>
      <c r="F60" s="33">
        <f>INCID_SUBMOD_2_2_APT%*('POSTO 40 HORAS'!MOD_1_REMUNERACAO_44H+SUBMOD_2_1_DEC_TERC_ADIC_FERIAS_44H)</f>
        <v>14.050681585097951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12" t="s">
        <v>161</v>
      </c>
      <c r="D61" s="107"/>
      <c r="E61" s="38">
        <f>PERC_MULTA_FGTS_AV_PREV_TRAB</f>
        <v>1.9019963200000001</v>
      </c>
      <c r="F61" s="35">
        <f>PERC_MULTA_FGTS_AV_PREV_TRAB%*('POSTO 40 HORAS'!MOD_1_REMUNERACAO_44H+SUBMOD_2_1_DEC_TERC_ADIC_FERIAS_44H)</f>
        <v>58.099013589493332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08" t="s">
        <v>150</v>
      </c>
      <c r="C62" s="109"/>
      <c r="D62" s="109"/>
      <c r="E62" s="107"/>
      <c r="F62" s="37">
        <f>SUM(F56:F61)</f>
        <v>120.46867824104146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10" t="s">
        <v>72</v>
      </c>
      <c r="D66" s="107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11" t="s">
        <v>163</v>
      </c>
      <c r="D67" s="107"/>
      <c r="E67" s="32">
        <f>PERC_SUBSTITUTO_FERIAS</f>
        <v>8.3333333333333321</v>
      </c>
      <c r="F67" s="33">
        <f>PERC_SUBSTITUTO_FERIAS%*('POSTO 40 HORAS'!MOD_1_REMUNERACAO_44H+'POSTO 40 HORAS'!MOD_2_ENCARGOS_BENEFICIOS_44H)</f>
        <v>442.53393333333321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06" t="s">
        <v>165</v>
      </c>
      <c r="D68" s="107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118.00904888888888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11" t="s">
        <v>167</v>
      </c>
      <c r="D69" s="107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0.90552178506533298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06" t="s">
        <v>169</v>
      </c>
      <c r="D70" s="107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0.98403029303608336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11" t="s">
        <v>171</v>
      </c>
      <c r="D71" s="107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1.3545550195626022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16" t="str">
        <f>OUTRAS_AUSENCIAS_DESCRICAO</f>
        <v>Outras Ausências (Especificar em %)</v>
      </c>
      <c r="D72" s="107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08" t="s">
        <v>150</v>
      </c>
      <c r="C73" s="109"/>
      <c r="D73" s="109"/>
      <c r="E73" s="107"/>
      <c r="F73" s="37">
        <f>SUM(F67:F72)</f>
        <v>563.78708931988615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41" t="s">
        <v>79</v>
      </c>
      <c r="D76" s="138"/>
      <c r="E76" s="139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37" t="s">
        <v>81</v>
      </c>
      <c r="D77" s="138"/>
      <c r="E77" s="139"/>
      <c r="F77" s="46">
        <f>UNIFORMES</f>
        <v>128.15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43" t="s">
        <v>82</v>
      </c>
      <c r="D78" s="138"/>
      <c r="E78" s="139"/>
      <c r="F78" s="47">
        <f>MATERIAIS</f>
        <v>1006.44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37" t="s">
        <v>83</v>
      </c>
      <c r="D79" s="138"/>
      <c r="E79" s="139"/>
      <c r="F79" s="46">
        <f>EQUIPAMENTOS</f>
        <v>250.38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40" t="str">
        <f>OUTROS_INSUMOS_DESCRICAO</f>
        <v>EPI</v>
      </c>
      <c r="D80" s="138"/>
      <c r="E80" s="139"/>
      <c r="F80" s="47">
        <f>OUTROS_INSUMOS</f>
        <v>79.94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41" t="s">
        <v>150</v>
      </c>
      <c r="C81" s="138"/>
      <c r="D81" s="138"/>
      <c r="E81" s="139"/>
      <c r="F81" s="48">
        <f>SUM(F77:F80)</f>
        <v>1464.9100000000003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42" t="s">
        <v>84</v>
      </c>
      <c r="C83" s="122"/>
      <c r="D83" s="122"/>
      <c r="E83" s="122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08" t="s">
        <v>85</v>
      </c>
      <c r="D84" s="107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11" t="s">
        <v>86</v>
      </c>
      <c r="D85" s="107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352.83780136563189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06" t="s">
        <v>87</v>
      </c>
      <c r="D86" s="107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435.15127982920933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11" t="s">
        <v>188</v>
      </c>
      <c r="D87" s="107"/>
      <c r="E87" s="49">
        <f t="shared" ref="E87:F87" si="0">SUM(E88:E90)</f>
        <v>8.65</v>
      </c>
      <c r="F87" s="33">
        <f t="shared" si="0"/>
        <v>780.96783493965404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17" t="s">
        <v>89</v>
      </c>
      <c r="D88" s="107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58.685444244020253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18" t="s">
        <v>91</v>
      </c>
      <c r="D89" s="107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270.85589651086264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17" t="s">
        <v>93</v>
      </c>
      <c r="D90" s="107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451.42649418477112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08" t="s">
        <v>150</v>
      </c>
      <c r="C91" s="109"/>
      <c r="D91" s="109"/>
      <c r="E91" s="107"/>
      <c r="F91" s="57">
        <f>'POSTO 40 HORAS'!AL_6_A_CUSTOS_INDIRETOS_44H+'POSTO 40 HORAS'!AL_6_B_LUCRO_44H+'POSTO 40 HORAS'!AL_6_C_TRIBUTOS_44H</f>
        <v>1568.9569161344953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10" t="s">
        <v>191</v>
      </c>
      <c r="D93" s="109"/>
      <c r="E93" s="107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11" t="s">
        <v>35</v>
      </c>
      <c r="D94" s="109"/>
      <c r="E94" s="107"/>
      <c r="F94" s="33">
        <f>'POSTO 40 HORAS'!MOD_1_REMUNERACAO_44H</f>
        <v>2749.17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06" t="s">
        <v>193</v>
      </c>
      <c r="D95" s="109"/>
      <c r="E95" s="107"/>
      <c r="F95" s="35">
        <f>'POSTO 40 HORAS'!MOD_2_ENCARGOS_BENEFICIOS_44H</f>
        <v>2561.2372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11" t="s">
        <v>115</v>
      </c>
      <c r="D96" s="109"/>
      <c r="E96" s="107"/>
      <c r="F96" s="33">
        <f>'POSTO 40 HORAS'!MOD_3_PROVISAO_RESCISAO_44H</f>
        <v>120.46867824104146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06" t="s">
        <v>194</v>
      </c>
      <c r="D97" s="109"/>
      <c r="E97" s="107"/>
      <c r="F97" s="35">
        <f>'POSTO 40 HORAS'!MOD_4_CUSTO_REPOSICAO_44H</f>
        <v>563.78708931988615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11" t="s">
        <v>79</v>
      </c>
      <c r="D98" s="109"/>
      <c r="E98" s="107"/>
      <c r="F98" s="33">
        <f>'POSTO 40 HORAS'!MOD_5_INSUMOS_44H</f>
        <v>1464.9100000000003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06" t="s">
        <v>85</v>
      </c>
      <c r="D99" s="109"/>
      <c r="E99" s="107"/>
      <c r="F99" s="35">
        <f>'POSTO 40 HORAS'!MOD_6_CUSTOS_IND_LUCRO_TRIB_44H</f>
        <v>1568.9569161344953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10" t="s">
        <v>195</v>
      </c>
      <c r="C100" s="109"/>
      <c r="D100" s="109"/>
      <c r="E100" s="107"/>
      <c r="F100" s="57">
        <f>SUM(F94:F99)</f>
        <v>9028.5298836954225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10" t="s">
        <v>196</v>
      </c>
      <c r="C101" s="109"/>
      <c r="D101" s="109"/>
      <c r="E101" s="107"/>
      <c r="F101" s="57">
        <f>'POSTO 40 HORAS'!VALOR_TOTAL_EMPREGADO_44H*EMPREG_POR_POSTO</f>
        <v>9028.5298836954225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10" t="s">
        <v>197</v>
      </c>
      <c r="C102" s="109"/>
      <c r="D102" s="109"/>
      <c r="E102" s="107"/>
      <c r="F102" s="57">
        <f>'POSTO 40 HORAS'!VALOR_TOTAL_EMPREGADO_44H*EMPREG_POR_POSTO*'POSTO 40 HORAS'!QTDE_POSTOS</f>
        <v>9028.5298836954225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  <mergeCell ref="C38:D38"/>
    <mergeCell ref="C39:D39"/>
    <mergeCell ref="C40:D40"/>
    <mergeCell ref="C41:D41"/>
    <mergeCell ref="C42:D42"/>
    <mergeCell ref="C33:D33"/>
    <mergeCell ref="B34:E34"/>
    <mergeCell ref="B35:F35"/>
    <mergeCell ref="C36:D36"/>
    <mergeCell ref="C37:D37"/>
    <mergeCell ref="C26:E26"/>
    <mergeCell ref="C27:E27"/>
    <mergeCell ref="B28:E28"/>
    <mergeCell ref="C31:D31"/>
    <mergeCell ref="C32:D32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C84:D84"/>
    <mergeCell ref="C85:D85"/>
    <mergeCell ref="C86:D86"/>
    <mergeCell ref="C69:D69"/>
    <mergeCell ref="C70:D70"/>
    <mergeCell ref="C71:D71"/>
    <mergeCell ref="C72:D72"/>
    <mergeCell ref="B73:E73"/>
    <mergeCell ref="C59:D59"/>
    <mergeCell ref="C60:D60"/>
    <mergeCell ref="C50:E50"/>
    <mergeCell ref="C51:E51"/>
    <mergeCell ref="C52:E52"/>
    <mergeCell ref="B53:E53"/>
    <mergeCell ref="C55:D55"/>
    <mergeCell ref="C44:D44"/>
    <mergeCell ref="B45:E45"/>
    <mergeCell ref="C47:E47"/>
    <mergeCell ref="C48:E48"/>
    <mergeCell ref="C49:E4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2026-04-01T14:16:57Z</dcterms:modified>
</cp:coreProperties>
</file>