
<file path=[Content_Types].xml><?xml version="1.0" encoding="utf-8"?>
<Types xmlns="http://schemas.openxmlformats.org/package/2006/content-types"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  <Override PartName="/xl/commentsmeta0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30"/>
  <workbookPr/>
  <mc:AlternateContent xmlns:mc="http://schemas.openxmlformats.org/markup-compatibility/2006">
    <mc:Choice Requires="x15">
      <x15ac:absPath xmlns:x15ac="http://schemas.microsoft.com/office/spreadsheetml/2010/11/ac" url="C:\Users\Marciel\Desktop\"/>
    </mc:Choice>
  </mc:AlternateContent>
  <xr:revisionPtr revIDLastSave="0" documentId="8_{D5F6EDEA-E0FB-4EF2-957A-5E73BD13711D}" xr6:coauthVersionLast="47" xr6:coauthVersionMax="47" xr10:uidLastSave="{00000000-0000-0000-0000-000000000000}"/>
  <bookViews>
    <workbookView xWindow="-108" yWindow="-108" windowWidth="23256" windowHeight="12456" activeTab="4" xr2:uid="{00000000-000D-0000-FFFF-FFFF00000000}"/>
  </bookViews>
  <sheets>
    <sheet name="INSERÇÃO-DE-DADOS" sheetId="1" r:id="rId1"/>
    <sheet name="DADOS-ESTATISTICOS" sheetId="2" r:id="rId2"/>
    <sheet name="ENCARGOS-SOCIAIS-E-TRABALHISTAS" sheetId="3" r:id="rId3"/>
    <sheet name="POSTO 12x36 HORAS" sheetId="4" state="hidden" r:id="rId4"/>
    <sheet name="POSTO 40 HORAS" sheetId="5" r:id="rId5"/>
  </sheets>
  <definedNames>
    <definedName name="ACORDO_COLETIVO">'INSERÇÃO-DE-DADOS'!$F$14</definedName>
    <definedName name="ADESAO_AO_PAT">'INSERÇÃO-DE-DADOS'!$E$49</definedName>
    <definedName name="AL_1_A_SAL_BASE_12x36" localSheetId="3">'POSTO 12x36 HORAS'!$F$22</definedName>
    <definedName name="AL_1_A_SAL_BASE_44H" localSheetId="4">'POSTO 40 HORAS'!$F$22</definedName>
    <definedName name="AL_1_B_ADIC_PERIC_12x36" localSheetId="3">'POSTO 12x36 HORAS'!$F$23</definedName>
    <definedName name="AL_1_B_ADIC_PERIC_44H" localSheetId="4">'POSTO 40 HORAS'!$F$23</definedName>
    <definedName name="AL_1_C_ADIC_NOT_12x36" localSheetId="3">'POSTO 12x36 HORAS'!$F$24</definedName>
    <definedName name="AL_1_D_ADIC_NOT_RED_12x36" localSheetId="3">'POSTO 12x36 HORAS'!$F$25</definedName>
    <definedName name="AL_2_1_A_DEC_TERC_12x36" localSheetId="3">'POSTO 12x36 HORAS'!$F$34</definedName>
    <definedName name="AL_2_1_A_DEC_TERC_44H" localSheetId="4">'POSTO 40 HORAS'!$F$32</definedName>
    <definedName name="AL_2_1_B_ADIC_FERIAS_12x36" localSheetId="3">'POSTO 12x36 HORAS'!$F$35</definedName>
    <definedName name="AL_2_1_B_ADIC_FERIAS_44H" localSheetId="4">'POSTO 40 HORAS'!$F$33</definedName>
    <definedName name="AL_2_2_FGTS_12x36" localSheetId="3">'POSTO 12x36 HORAS'!$F$46</definedName>
    <definedName name="AL_2_2_FGTS_44H" localSheetId="4">'POSTO 40 HORAS'!$F$44</definedName>
    <definedName name="AL_2_3_A_TRANSP_12x36" localSheetId="3">'POSTO 12x36 HORAS'!$F$50</definedName>
    <definedName name="AL_2_3_A_TRANSP_44H" localSheetId="4">'POSTO 40 HORAS'!$F$48</definedName>
    <definedName name="AL_2_3_B_AUX_ALIMENT_12x36" localSheetId="3">'POSTO 12x36 HORAS'!$F$51</definedName>
    <definedName name="AL_2_3_B_AUX_ALIMENT_44H" localSheetId="4">'POSTO 40 HORAS'!$F$49</definedName>
    <definedName name="AL_2_3_C_OUTROS_BENEF_12x36" localSheetId="3">'POSTO 12x36 HORAS'!$F$52</definedName>
    <definedName name="AL_2_3_C_OUTROS_BENEF_44H" localSheetId="4">'POSTO 40 HORAS'!$F$50</definedName>
    <definedName name="AL_2_A_ATE_2_G_GPS_12x36" localSheetId="3">'POSTO 12x36 HORAS'!$F$39:$F$45</definedName>
    <definedName name="AL_2_A_ATE_2_G_GPS_44H" localSheetId="4">'POSTO 40 HORAS'!$F$37:$F$43</definedName>
    <definedName name="AL_6_A_CUSTOS_INDIRETOS_12x36" localSheetId="3">'POSTO 12x36 HORAS'!$F$95</definedName>
    <definedName name="AL_6_A_CUSTOS_INDIRETOS_44H" localSheetId="4">'POSTO 40 HORAS'!$F$85</definedName>
    <definedName name="AL_6_B_LUCRO_12x36" localSheetId="3">'POSTO 12x36 HORAS'!$F$96</definedName>
    <definedName name="AL_6_B_LUCRO_44H" localSheetId="4">'POSTO 40 HORAS'!$F$86</definedName>
    <definedName name="AL_6_C_1_PIS_12x36" localSheetId="3">'POSTO 12x36 HORAS'!$F$98</definedName>
    <definedName name="AL_6_C_1_PIS_44H" localSheetId="4">'POSTO 40 HORAS'!$F$88</definedName>
    <definedName name="AL_6_C_2_COFINS_12x36" localSheetId="3">'POSTO 12x36 HORAS'!$F$99</definedName>
    <definedName name="AL_6_C_2_COFINS_44H" localSheetId="4">'POSTO 40 HORAS'!$F$89</definedName>
    <definedName name="AL_6_C_3_ISS_12x36" localSheetId="3">'POSTO 12x36 HORAS'!$F$100</definedName>
    <definedName name="AL_6_C_3_ISS_44H" localSheetId="4">'POSTO 40 HORAS'!$F$90</definedName>
    <definedName name="AL_6_C_TRIBUTOS_12x36" localSheetId="3">'POSTO 12x36 HORAS'!$F$97</definedName>
    <definedName name="AL_6_C_TRIBUTOS_44H" localSheetId="4">'POSTO 40 HORAS'!$F$87</definedName>
    <definedName name="ALIMENTACAO_POR_DIA">'INSERÇÃO-DE-DADOS'!$F$48</definedName>
    <definedName name="BC_ADIC_INSALUB">'INSERÇÃO-DE-DADOS'!$F$20</definedName>
    <definedName name="CATEGORIA_PROFISSIONAL">'INSERÇÃO-DE-DADOS'!$D$24</definedName>
    <definedName name="CBO">'INSERÇÃO-DE-DADOS'!$D$23</definedName>
    <definedName name="DATA_APRESENTACAO_PROPOSTA">'INSERÇÃO-DE-DADOS'!$F$11</definedName>
    <definedName name="DATA_BASE_CATEGORIA">'INSERÇÃO-DE-DADOS'!$F$25</definedName>
    <definedName name="DATA_DO_ORCAMENTO_ESTIMATIVO">'INSERÇÃO-DE-DADOS'!$F$2</definedName>
    <definedName name="DATA_LICITACAO">'INSERÇÃO-DE-DADOS'!$D$8</definedName>
    <definedName name="DIAS_AUSENCIAS_LEGAIS">'DADOS-ESTATISTICOS'!$F$29</definedName>
    <definedName name="DIAS_LICENCA_MATERNIDADE">'DADOS-ESTATISTICOS'!$F$35</definedName>
    <definedName name="DIAS_LICENCA_PATERNIDADE">'DADOS-ESTATISTICOS'!$F$30</definedName>
    <definedName name="DIAS_NA_SEMANA">'DADOS-ESTATISTICOS'!$F$5</definedName>
    <definedName name="DIAS_NO_ANO">'DADOS-ESTATISTICOS'!$F$6</definedName>
    <definedName name="DIAS_NO_MES">'DADOS-ESTATISTICOS'!$F$24</definedName>
    <definedName name="DIAS_PAGOS_EMPRESA_ACID_TRAB">'DADOS-ESTATISTICOS'!$F$34</definedName>
    <definedName name="DIAS_TRABALHADOS_NO_MES_12X36">'DADOS-ESTATISTICOS'!$F$15</definedName>
    <definedName name="DIAS_UTEIS_TRABALHADOS_NO_MES_44HORAS">'DADOS-ESTATISTICOS'!$F$16</definedName>
    <definedName name="DIVISOR_DE_HORAS">'DADOS-ESTATISTICOS'!$F$4</definedName>
    <definedName name="EMPREG_POR_POSTO">'INSERÇÃO-DE-DADOS'!$E$19</definedName>
    <definedName name="EQUIPAMENTOS">'INSERÇÃO-DE-DADOS'!$F$72</definedName>
    <definedName name="FAP">'INSERÇÃO-DE-DADOS'!$F$43</definedName>
    <definedName name="HORA_NORMAL">'DADOS-ESTATISTICOS'!$F$9</definedName>
    <definedName name="HORA_NOTURNA">'DADOS-ESTATISTICOS'!$F$10</definedName>
    <definedName name="HORARIO_LICITACAO">'INSERÇÃO-DE-DADOS'!$F$8</definedName>
    <definedName name="INCID_FGTS_SOBRE_API">'ENCARGOS-SOCIAIS-E-TRABALHISTAS'!$E$21</definedName>
    <definedName name="INCID_SUBMOD_2_2_APT">'ENCARGOS-SOCIAIS-E-TRABALHISTAS'!$E$24</definedName>
    <definedName name="LOCAL_DE_EXECUCAO">'INSERÇÃO-DE-DADOS'!$D$12</definedName>
    <definedName name="MATERIAIS">'INSERÇÃO-DE-DADOS'!$F$71</definedName>
    <definedName name="MEDIA_ANUAL_DIAS_TRABALHO_MES">'DADOS-ESTATISTICOS'!$F$7</definedName>
    <definedName name="MESES_NO_ANO">'DADOS-ESTATISTICOS'!$F$8</definedName>
    <definedName name="MOD_1_REMUNERACAO_12X36">'POSTO 12x36 HORAS'!$F$30</definedName>
    <definedName name="MOD_1_REMUNERACAO_44H" localSheetId="4">'POSTO 40 HORAS'!$F$28</definedName>
    <definedName name="MOD_2_ENCARGOS_BENEFICIOS_12x36" localSheetId="3">'POSTO 12x36 HORAS'!$F$36+'POSTO 12x36 HORAS'!$F$47+'POSTO 12x36 HORAS'!$F$55</definedName>
    <definedName name="MOD_2_ENCARGOS_BENEFICIOS_44H" localSheetId="4">'POSTO 40 HORAS'!$F$34+'POSTO 40 HORAS'!$F$45+'POSTO 40 HORAS'!$F$53</definedName>
    <definedName name="MOD_3_PROVISAO_RESCISAO_12x36" localSheetId="3">'POSTO 12x36 HORAS'!$F$68</definedName>
    <definedName name="MOD_3_PROVISAO_RESCISAO_44H" localSheetId="4">'POSTO 40 HORAS'!$F$62</definedName>
    <definedName name="MOD_4_CUSTO_REPOSICAO_12x36" localSheetId="3">'POSTO 12x36 HORAS'!$F$79+'POSTO 12x36 HORAS'!$F$83</definedName>
    <definedName name="MOD_4_CUSTO_REPOSICAO_44H" localSheetId="4">'POSTO 40 HORAS'!$F$73</definedName>
    <definedName name="MOD_5_INSUMOS_12x36" localSheetId="3">'POSTO 12x36 HORAS'!$F$91</definedName>
    <definedName name="MOD_5_INSUMOS_44H" localSheetId="4">'POSTO 40 HORAS'!$F$81</definedName>
    <definedName name="MOD_6_CUSTOS_IND_LUCRO_TRIB_12x36" localSheetId="3">'POSTO 12x36 HORAS'!$F$101</definedName>
    <definedName name="MOD_6_CUSTOS_IND_LUCRO_TRIB_44H" localSheetId="4">'POSTO 40 HORAS'!$F$91</definedName>
    <definedName name="MODALIDADE_DE_LICITACAO">'INSERÇÃO-DE-DADOS'!$D$7</definedName>
    <definedName name="NUMERO_MESES_EXEC_CONTRATUAL">'INSERÇÃO-DE-DADOS'!$F$15</definedName>
    <definedName name="NUMERO_PREGAO">'INSERÇÃO-DE-DADOS'!$F$7</definedName>
    <definedName name="NUMERO_PROCESSO">'INSERÇÃO-DE-DADOS'!$D$6</definedName>
    <definedName name="OUTRAS_AUSENCIAS">'ENCARGOS-SOCIAIS-E-TRABALHISTAS'!$E$34</definedName>
    <definedName name="OUTRAS_AUSENCIAS_DESCRICAO">'INSERÇÃO-DE-DADOS'!$C$62</definedName>
    <definedName name="OUTROS_BENEFICIOS_1">'INSERÇÃO-DE-DADOS'!$F$50</definedName>
    <definedName name="OUTROS_BENEFICIOS_1_DESCRICAO">'INSERÇÃO-DE-DADOS'!$C$50</definedName>
    <definedName name="OUTROS_BENEFICIOS_2">'INSERÇÃO-DE-DADOS'!$F$51</definedName>
    <definedName name="OUTROS_BENEFICIOS_2_DESCRICAO">'INSERÇÃO-DE-DADOS'!$C$51</definedName>
    <definedName name="OUTROS_BENEFICIOS_3">'INSERÇÃO-DE-DADOS'!$F$52</definedName>
    <definedName name="OUTROS_BENEFICIOS_3_DESCRICAO">'INSERÇÃO-DE-DADOS'!$C$52</definedName>
    <definedName name="OUTROS_INSUMOS">'INSERÇÃO-DE-DADOS'!$F$73</definedName>
    <definedName name="OUTROS_INSUMOS_DESCRICAO">'INSERÇÃO-DE-DADOS'!$C$73</definedName>
    <definedName name="OUTROS_REMUNERACAO_1">'INSERÇÃO-DE-DADOS'!$F$35</definedName>
    <definedName name="OUTROS_REMUNERACAO_1_DESCRICAO">'INSERÇÃO-DE-DADOS'!$C$35</definedName>
    <definedName name="OUTROS_REMUNERACAO_2">'INSERÇÃO-DE-DADOS'!$F$36</definedName>
    <definedName name="OUTROS_REMUNERACAO_2_DESCRICAO">'INSERÇÃO-DE-DADOS'!$C$36:$E$36</definedName>
    <definedName name="OUTROS_REMUNERACAO_3">'INSERÇÃO-DE-DADOS'!$F$37</definedName>
    <definedName name="OUTROS_REMUNERACAO_3_DESCRICAO">'INSERÇÃO-DE-DADOS'!$C$37:$E$37</definedName>
    <definedName name="PERC_ADIC_FERIAS">'ENCARGOS-SOCIAIS-E-TRABALHISTAS'!$E$6</definedName>
    <definedName name="PERC_ADIC_INS">'INSERÇÃO-DE-DADOS'!$F$34</definedName>
    <definedName name="PERC_ADIC_NOT">'INSERÇÃO-DE-DADOS'!$F$33</definedName>
    <definedName name="PERC_ADIC_PERIC">'INSERÇÃO-DE-DADOS'!$F$32</definedName>
    <definedName name="PERC_AVISO_PREVIO_IND">'ENCARGOS-SOCIAIS-E-TRABALHISTAS'!$E$20</definedName>
    <definedName name="PERC_AVISO_PREVIO_TRAB">'ENCARGOS-SOCIAIS-E-TRABALHISTAS'!$E$23</definedName>
    <definedName name="PERC_COFINS">'INSERÇÃO-DE-DADOS'!$F$80</definedName>
    <definedName name="PERC_CUSTOS_INDIRETOS">'INSERÇÃO-DE-DADOS'!$F$77</definedName>
    <definedName name="PERC_DEC_TERC">'ENCARGOS-SOCIAIS-E-TRABALHISTAS'!$E$5</definedName>
    <definedName name="PERC_DESC_TRANSP_REMUNERACAO">'DADOS-ESTATISTICOS'!$F$14</definedName>
    <definedName name="PERC_EMPREG_AFAST_TRAB">'DADOS-ESTATISTICOS'!$F$33</definedName>
    <definedName name="PERC_EMPREG_AVISO_PREVIO_IND">'DADOS-ESTATISTICOS'!$F$21</definedName>
    <definedName name="PERC_EMPREG_AVISO_PREVIO_TRAB">'DADOS-ESTATISTICOS'!$F$23</definedName>
    <definedName name="PERC_EMPREG_DEMIT_SEM_JUSTA_CAUSA_TOTAL_DESLIG">'DADOS-ESTATISTICOS'!$F$20</definedName>
    <definedName name="PERC_FAP">'INSERÇÃO-DE-DADOS'!$F$43</definedName>
    <definedName name="PERC_FGTS">'ENCARGOS-SOCIAIS-E-TRABALHISTAS'!$E$16</definedName>
    <definedName name="PERC_GPS_FGTS">'ENCARGOS-SOCIAIS-E-TRABALHISTAS'!$E$17</definedName>
    <definedName name="PERC_HORA_EXTRA">'INSERÇÃO-DE-DADOS'!$F$56</definedName>
    <definedName name="PERC_INCRA">'ENCARGOS-SOCIAIS-E-TRABALHISTAS'!$E$15</definedName>
    <definedName name="PERC_INSS">'ENCARGOS-SOCIAIS-E-TRABALHISTAS'!$E$9</definedName>
    <definedName name="PERC_ISS">'INSERÇÃO-DE-DADOS'!$F$81</definedName>
    <definedName name="PERC_LUCRO">'INSERÇÃO-DE-DADOS'!$F$78</definedName>
    <definedName name="PERC_MOD_3_PROVISAO_RESCISAO" localSheetId="3">'POSTO 12x36 HORAS'!$E$68</definedName>
    <definedName name="PERC_MOD_3_PROVISAO_RESCISAO" localSheetId="4">'POSTO 40 HORAS'!$E$62</definedName>
    <definedName name="PERC_MULTA_FGTS">'DADOS-ESTATISTICOS'!$F$22</definedName>
    <definedName name="PERC_MULTA_FGTS_AV_PREV_IND">'ENCARGOS-SOCIAIS-E-TRABALHISTAS'!$E$22</definedName>
    <definedName name="PERC_MULTA_FGTS_AV_PREV_TRAB">'ENCARGOS-SOCIAIS-E-TRABALHISTAS'!$E$25</definedName>
    <definedName name="PERC_NASCIDOS_VIVOS_POPUL_FEM">'DADOS-ESTATISTICOS'!$F$31</definedName>
    <definedName name="PERC_PARTIC_FEM_VIGIL">'DADOS-ESTATISTICOS'!$F$36</definedName>
    <definedName name="PERC_PARTIC_MASC_VIGIL">'DADOS-ESTATISTICOS'!$F$32</definedName>
    <definedName name="PERC_PAT">'INSERÇÃO-DE-DADOS'!$F$49</definedName>
    <definedName name="PERC_PIS">'INSERÇÃO-DE-DADOS'!$F$79</definedName>
    <definedName name="PERC_RAT">'ENCARGOS-SOCIAIS-E-TRABALHISTAS'!$E$11</definedName>
    <definedName name="PERC_SAL_EDUCACAO">'ENCARGOS-SOCIAIS-E-TRABALHISTAS'!$E$10</definedName>
    <definedName name="PERC_SEBRAE">'ENCARGOS-SOCIAIS-E-TRABALHISTAS'!$E$14</definedName>
    <definedName name="PERC_SENAC">'ENCARGOS-SOCIAIS-E-TRABALHISTAS'!$E$13</definedName>
    <definedName name="PERC_SESC">'ENCARGOS-SOCIAIS-E-TRABALHISTAS'!$E$12</definedName>
    <definedName name="PERC_SUBSTITUTO_ACID_TRAB">'ENCARGOS-SOCIAIS-E-TRABALHISTAS'!$E$32</definedName>
    <definedName name="PERC_SUBSTITUTO_AFAST_MATERN">'ENCARGOS-SOCIAIS-E-TRABALHISTAS'!$E$33</definedName>
    <definedName name="PERC_SUBSTITUTO_AUSENCIAS_LEGAIS">'ENCARGOS-SOCIAIS-E-TRABALHISTAS'!$E$30</definedName>
    <definedName name="PERC_SUBSTITUTO_FERIAS">'ENCARGOS-SOCIAIS-E-TRABALHISTAS'!$E$29</definedName>
    <definedName name="PERC_SUBSTITUTO_LICENCA_PATERNIDADE">'ENCARGOS-SOCIAIS-E-TRABALHISTAS'!$E$31</definedName>
    <definedName name="PERC_SUBSTITUTO_OUTRAS_AUSENCIAS">'INSERÇÃO-DE-DADOS'!$F$62</definedName>
    <definedName name="PERC_TRIBUTOS" localSheetId="3">'POSTO 12x36 HORAS'!$E$97</definedName>
    <definedName name="PERC_TRIBUTOS" localSheetId="4">'POSTO 40 HORAS'!$E$87</definedName>
    <definedName name="QTDE_POSTOS" localSheetId="3">'INSERÇÃO-DE-DADOS'!$F$19</definedName>
    <definedName name="QTDE_POSTOS" localSheetId="4">'INSERÇÃO-DE-DADOS'!$F$19</definedName>
    <definedName name="RAMO">'INSERÇÃO-DE-DADOS'!$B$1</definedName>
    <definedName name="SAL_MINIMO">'INSERÇÃO-DE-DADOS'!$F$26</definedName>
    <definedName name="SALARIO_BASE">'INSERÇÃO-DE-DADOS'!$F$31</definedName>
    <definedName name="SUBMOD_2_1_DEC_TERC_ADIC_FERIAS_12x36" localSheetId="3">'POSTO 12x36 HORAS'!$F$36</definedName>
    <definedName name="SUBMOD_2_1_DEC_TERC_ADIC_FERIAS_44H">'POSTO 40 HORAS'!$F$34</definedName>
    <definedName name="SUBMOD_2_2_GPS_FGTS_12x36" localSheetId="3">'POSTO 12x36 HORAS'!$F$47</definedName>
    <definedName name="SUBMOD_2_2_GPS_FGTS_44H" localSheetId="4">'POSTO 40 HORAS'!$F$45</definedName>
    <definedName name="SUBMOD_2_3_BENEFICIOS_12x36" localSheetId="3">'POSTO 12x36 HORAS'!$F$55</definedName>
    <definedName name="SUBMOD_2_3_BENEFICIOS_44H" localSheetId="4">'POSTO 40 HORAS'!$F$53</definedName>
    <definedName name="SUBMOD_2_4_INTERVALO_INTRAJORNADA_12X36">'POSTO 12x36 HORAS'!$F$59</definedName>
    <definedName name="SUBMOD_4_1_SUBSTITUTO_12x36" localSheetId="3">'POSTO 12x36 HORAS'!$F$79</definedName>
    <definedName name="SUBMOD_4_1_SUBSTITUTO_44H" localSheetId="4">'POSTO 40 HORAS'!$F$73</definedName>
    <definedName name="SUBMOD_4_2_INTRAJORNADA_12x36" localSheetId="3">'POSTO 12x36 HORAS'!$F$83</definedName>
    <definedName name="TEMPO_INTERVALO_REFEICAO_INTERV_INTRA">'INSERÇÃO-DE-DADOS'!$F$57</definedName>
    <definedName name="TEMPO_INTERVALO_REFEICAO_SUBST_INTRA">'INSERÇÃO-DE-DADOS'!$F$66</definedName>
    <definedName name="TIPO_DE_SERVICO">'INSERÇÃO-DE-DADOS'!$C$19</definedName>
    <definedName name="TRANSPORTE_POR_DIA">'INSERÇÃO-DE-DADOS'!$F$47</definedName>
    <definedName name="UG">'INSERÇÃO-DE-DADOS'!$B$2</definedName>
    <definedName name="UNIFORMES">'INSERÇÃO-DE-DADOS'!$F$70</definedName>
    <definedName name="VALOR_TOTAL_EMPREGADO_12x36" localSheetId="3">'POSTO 12x36 HORAS'!$F$110</definedName>
    <definedName name="VALOR_TOTAL_EMPREGADO_44H" localSheetId="4">'POSTO 40 HORAS'!$F$100</definedName>
    <definedName name="VALOR_TOTAL_POSTO_12x36" localSheetId="3">'POSTO 12x36 HORAS'!$F$111</definedName>
    <definedName name="VALOR_TOTAL_POSTO_44H" localSheetId="4">'POSTO 40 HORAS'!$F$101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uri="GoogleSheetsCustomDataVersion2">
      <go:sheetsCustomData xmlns:go="http://customooxmlschemas.google.com/" r:id="rId9" roundtripDataChecksum="CAS+gtsa7u7PPNA7vv1k0gfwf+jyYzeVSfNHDEBIfL0="/>
    </ext>
  </extLst>
</workbook>
</file>

<file path=xl/calcChain.xml><?xml version="1.0" encoding="utf-8"?>
<calcChain xmlns="http://schemas.openxmlformats.org/spreadsheetml/2006/main">
  <c r="F22" i="4" l="1"/>
  <c r="E90" i="5" l="1"/>
  <c r="E89" i="5"/>
  <c r="E88" i="5"/>
  <c r="E86" i="5"/>
  <c r="E85" i="5"/>
  <c r="F80" i="5"/>
  <c r="C80" i="5"/>
  <c r="F79" i="5"/>
  <c r="F78" i="5"/>
  <c r="F77" i="5"/>
  <c r="E72" i="5"/>
  <c r="C72" i="5"/>
  <c r="E67" i="5"/>
  <c r="F52" i="5"/>
  <c r="C52" i="5"/>
  <c r="F51" i="5"/>
  <c r="C51" i="5"/>
  <c r="F50" i="5"/>
  <c r="C50" i="5"/>
  <c r="F49" i="5"/>
  <c r="E44" i="5"/>
  <c r="E43" i="5"/>
  <c r="E42" i="5"/>
  <c r="E41" i="5"/>
  <c r="E40" i="5"/>
  <c r="E38" i="5"/>
  <c r="E37" i="5"/>
  <c r="F27" i="5"/>
  <c r="C27" i="5"/>
  <c r="F26" i="5"/>
  <c r="C26" i="5"/>
  <c r="F25" i="5"/>
  <c r="C25" i="5"/>
  <c r="F24" i="5"/>
  <c r="F23" i="5"/>
  <c r="F22" i="5"/>
  <c r="F19" i="5"/>
  <c r="F17" i="5"/>
  <c r="D16" i="5"/>
  <c r="D15" i="5"/>
  <c r="E14" i="5"/>
  <c r="F12" i="5"/>
  <c r="F11" i="5"/>
  <c r="F10" i="5"/>
  <c r="D9" i="5"/>
  <c r="F8" i="5"/>
  <c r="F6" i="5"/>
  <c r="D6" i="5"/>
  <c r="D5" i="5"/>
  <c r="F2" i="5"/>
  <c r="B2" i="5"/>
  <c r="B1" i="5"/>
  <c r="E100" i="4"/>
  <c r="E99" i="4"/>
  <c r="E98" i="4"/>
  <c r="E97" i="4" s="1"/>
  <c r="E96" i="4"/>
  <c r="E95" i="4"/>
  <c r="F90" i="4"/>
  <c r="C90" i="4"/>
  <c r="F89" i="4"/>
  <c r="F88" i="4"/>
  <c r="F87" i="4"/>
  <c r="E78" i="4"/>
  <c r="C78" i="4"/>
  <c r="E76" i="4"/>
  <c r="E64" i="4"/>
  <c r="F54" i="4"/>
  <c r="C54" i="4"/>
  <c r="F53" i="4"/>
  <c r="C53" i="4"/>
  <c r="F52" i="4"/>
  <c r="C52" i="4"/>
  <c r="F51" i="4"/>
  <c r="F50" i="4"/>
  <c r="E46" i="4"/>
  <c r="E45" i="4"/>
  <c r="E44" i="4"/>
  <c r="E43" i="4"/>
  <c r="E42" i="4"/>
  <c r="E40" i="4"/>
  <c r="E39" i="4"/>
  <c r="E35" i="4"/>
  <c r="E34" i="4"/>
  <c r="F29" i="4"/>
  <c r="C29" i="4"/>
  <c r="F28" i="4"/>
  <c r="C28" i="4"/>
  <c r="F27" i="4"/>
  <c r="C27" i="4"/>
  <c r="F26" i="4"/>
  <c r="F23" i="4"/>
  <c r="F25" i="4" s="1"/>
  <c r="F19" i="4"/>
  <c r="F17" i="4"/>
  <c r="D16" i="4"/>
  <c r="D15" i="4"/>
  <c r="E14" i="4"/>
  <c r="F12" i="4"/>
  <c r="F11" i="4"/>
  <c r="F10" i="4"/>
  <c r="D9" i="4"/>
  <c r="F8" i="4"/>
  <c r="F6" i="4"/>
  <c r="D6" i="4"/>
  <c r="D5" i="4"/>
  <c r="F2" i="4"/>
  <c r="B2" i="4"/>
  <c r="B1" i="4"/>
  <c r="E34" i="3"/>
  <c r="C34" i="3"/>
  <c r="E32" i="3"/>
  <c r="E31" i="3"/>
  <c r="E30" i="3"/>
  <c r="E29" i="3"/>
  <c r="E73" i="4" s="1"/>
  <c r="E25" i="3"/>
  <c r="E23" i="3"/>
  <c r="E59" i="5" s="1"/>
  <c r="E22" i="3"/>
  <c r="E20" i="3"/>
  <c r="E11" i="3"/>
  <c r="E6" i="3"/>
  <c r="E33" i="5" s="1"/>
  <c r="E5" i="3"/>
  <c r="F33" i="2"/>
  <c r="E87" i="5" l="1"/>
  <c r="F81" i="5"/>
  <c r="F98" i="5" s="1"/>
  <c r="F91" i="4"/>
  <c r="F108" i="4" s="1"/>
  <c r="F55" i="4"/>
  <c r="F28" i="5"/>
  <c r="F32" i="5" s="1"/>
  <c r="F24" i="4"/>
  <c r="F30" i="4" s="1"/>
  <c r="F48" i="5"/>
  <c r="F53" i="5" s="1"/>
  <c r="E67" i="4"/>
  <c r="E62" i="4"/>
  <c r="E74" i="4"/>
  <c r="E39" i="5"/>
  <c r="E61" i="5"/>
  <c r="E75" i="4"/>
  <c r="E68" i="5"/>
  <c r="E65" i="4"/>
  <c r="E21" i="3"/>
  <c r="E41" i="4"/>
  <c r="E56" i="5"/>
  <c r="E32" i="5"/>
  <c r="E69" i="5"/>
  <c r="E70" i="5"/>
  <c r="E58" i="5"/>
  <c r="E17" i="3"/>
  <c r="F94" i="5" l="1"/>
  <c r="F33" i="5"/>
  <c r="F34" i="5" s="1"/>
  <c r="F56" i="5" s="1"/>
  <c r="F39" i="5"/>
  <c r="F61" i="5"/>
  <c r="F44" i="5"/>
  <c r="F40" i="5"/>
  <c r="F43" i="5"/>
  <c r="F42" i="5"/>
  <c r="F41" i="5"/>
  <c r="F38" i="5"/>
  <c r="F37" i="5"/>
  <c r="E33" i="3"/>
  <c r="E24" i="3"/>
  <c r="F59" i="5"/>
  <c r="F104" i="4"/>
  <c r="F35" i="4"/>
  <c r="F34" i="4"/>
  <c r="F58" i="4"/>
  <c r="F59" i="4" s="1"/>
  <c r="F58" i="5"/>
  <c r="F57" i="5"/>
  <c r="E57" i="5"/>
  <c r="E63" i="4"/>
  <c r="F36" i="4" l="1"/>
  <c r="F63" i="4" s="1"/>
  <c r="E66" i="4"/>
  <c r="F60" i="5"/>
  <c r="F62" i="5" s="1"/>
  <c r="F96" i="5" s="1"/>
  <c r="E60" i="5"/>
  <c r="E71" i="5"/>
  <c r="E77" i="4"/>
  <c r="F45" i="5"/>
  <c r="F71" i="5" s="1"/>
  <c r="F40" i="4"/>
  <c r="F65" i="4"/>
  <c r="F43" i="4" l="1"/>
  <c r="F41" i="4"/>
  <c r="F66" i="4"/>
  <c r="F62" i="4"/>
  <c r="F42" i="4"/>
  <c r="F64" i="4"/>
  <c r="F67" i="4"/>
  <c r="F44" i="4"/>
  <c r="F46" i="4"/>
  <c r="F39" i="4"/>
  <c r="F45" i="4"/>
  <c r="F68" i="5"/>
  <c r="F72" i="5"/>
  <c r="F70" i="5"/>
  <c r="F67" i="5"/>
  <c r="F69" i="5"/>
  <c r="F95" i="5"/>
  <c r="F68" i="4" l="1"/>
  <c r="F106" i="4" s="1"/>
  <c r="F47" i="4"/>
  <c r="F82" i="4"/>
  <c r="F83" i="4" s="1"/>
  <c r="F75" i="4" a="1"/>
  <c r="F75" i="4" s="1"/>
  <c r="F74" i="4" a="1"/>
  <c r="F74" i="4" s="1"/>
  <c r="F78" i="4" a="1"/>
  <c r="F78" i="4" s="1"/>
  <c r="F105" i="4"/>
  <c r="F76" i="4" a="1"/>
  <c r="F76" i="4" s="1"/>
  <c r="F73" i="4" a="1"/>
  <c r="F73" i="4" s="1"/>
  <c r="F77" i="4" a="1"/>
  <c r="F77" i="4" s="1"/>
  <c r="F73" i="5"/>
  <c r="F79" i="4" l="1"/>
  <c r="F107" i="4" s="1"/>
  <c r="F97" i="5"/>
  <c r="F85" i="5"/>
  <c r="F86" i="5" s="1"/>
  <c r="F89" i="5" s="1"/>
  <c r="F95" i="4"/>
  <c r="F88" i="5" l="1"/>
  <c r="F90" i="5"/>
  <c r="F96" i="4"/>
  <c r="F100" i="4" s="1"/>
  <c r="F87" i="5" l="1"/>
  <c r="F91" i="5" s="1"/>
  <c r="F99" i="5" s="1"/>
  <c r="F100" i="5" s="1"/>
  <c r="F102" i="5" s="1"/>
  <c r="F99" i="4"/>
  <c r="F98" i="4"/>
  <c r="F101" i="5" l="1"/>
  <c r="F97" i="4"/>
  <c r="F101" i="4" s="1"/>
  <c r="F109" i="4" s="1"/>
  <c r="F110" i="4" s="1"/>
  <c r="F112" i="4" s="1"/>
  <c r="F111" i="4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/>
  </authors>
  <commentList>
    <comment ref="F49" authorId="0" shapeId="0" xr:uid="{00000000-0006-0000-0000-000001000000}">
      <text>
        <r>
          <rPr>
            <sz val="10"/>
            <color rgb="FF000000"/>
            <rFont val="Arial"/>
            <scheme val="minor"/>
          </rPr>
          <t>======
ID#AAABgimFERA
André Flores    (2025-03-20 21:53:13)
Limitado a 20%</t>
        </r>
      </text>
    </comment>
  </commentList>
  <extLst>
    <ext xmlns:r="http://schemas.openxmlformats.org/officeDocument/2006/relationships" uri="GoogleSheetsCustomDataVersion2">
      <go:sheetsCustomData xmlns:go="http://customooxmlschemas.google.com/" r:id="rId1" roundtripDataSignature="AMtx7mif8Dbk0BouUhBKUs9ao8ZN+ZSShQ=="/>
    </ext>
  </extLst>
</comments>
</file>

<file path=xl/sharedStrings.xml><?xml version="1.0" encoding="utf-8"?>
<sst xmlns="http://schemas.openxmlformats.org/spreadsheetml/2006/main" count="616" uniqueCount="210">
  <si>
    <t>DATA:</t>
  </si>
  <si>
    <t>XX/XX/20XX</t>
  </si>
  <si>
    <t>CUSTOS REFERENTES AOS SERVIÇOS CONTRATADOS</t>
  </si>
  <si>
    <t>Dados referentes à licitação</t>
  </si>
  <si>
    <t>Nº do Processo (X.XX.XXX.XXXXXX/XXXX-XX)</t>
  </si>
  <si>
    <t>Modalidade de Licitação nº (XX/AAAA)</t>
  </si>
  <si>
    <t>Pregão nº</t>
  </si>
  <si>
    <t>XX/20XX</t>
  </si>
  <si>
    <t>Data / Horário</t>
  </si>
  <si>
    <t>HH:MM</t>
  </si>
  <si>
    <t>Dados referentes à contratação</t>
  </si>
  <si>
    <t>A</t>
  </si>
  <si>
    <t>Data de Apresentação da Proposta (DD/MM/AAAA)</t>
  </si>
  <si>
    <t>B</t>
  </si>
  <si>
    <t>Local de Execução (Sede, Anexo I ou II, PTM, PRM)</t>
  </si>
  <si>
    <t>C</t>
  </si>
  <si>
    <t>Unidade da Federação</t>
  </si>
  <si>
    <t>D</t>
  </si>
  <si>
    <t>Acordo, Conv. ou Sentença Normativa em Dissídio Coletivo (MM/AAAA)</t>
  </si>
  <si>
    <t>E</t>
  </si>
  <si>
    <t>Número de Meses de Execução Contratual</t>
  </si>
  <si>
    <t>Identificação do serviço</t>
  </si>
  <si>
    <t>Item</t>
  </si>
  <si>
    <t>Tipo de Serviço</t>
  </si>
  <si>
    <t>Unidade de Medida</t>
  </si>
  <si>
    <t>Empregados por Posto</t>
  </si>
  <si>
    <t>Qtde Total a Contratar</t>
  </si>
  <si>
    <t>Qual a base de cálculo do adicional de insalubridade (CCT ou Salário Mínimo)?</t>
  </si>
  <si>
    <t>Mão de obra</t>
  </si>
  <si>
    <t>Classificação Brasileira de Ocupações (CBO)</t>
  </si>
  <si>
    <t>Categoria Profissional (vinculada à execução contratual)</t>
  </si>
  <si>
    <t>Data-Base da Categoria (DD/MM/AAAA)</t>
  </si>
  <si>
    <t>Salário Mínimo vigente no país (em R$)</t>
  </si>
  <si>
    <t>CUSTOS POR EMPREGADO</t>
  </si>
  <si>
    <t>MÓDULO 1: COMPOSIÇÃO DA REMUNERAÇÃO</t>
  </si>
  <si>
    <t>Composição da Remuneração</t>
  </si>
  <si>
    <t>Valor (R$) / %</t>
  </si>
  <si>
    <t>Salário-Base (em R$)</t>
  </si>
  <si>
    <t>Adicional de Periculosidade (em %)</t>
  </si>
  <si>
    <t>Adicional Noturno (em %)</t>
  </si>
  <si>
    <t>Adicional de Insalubridade (em %)</t>
  </si>
  <si>
    <t>Outras Remunerações 1 (Especificar)</t>
  </si>
  <si>
    <t>F</t>
  </si>
  <si>
    <t>Outras Remunerações 2 (Especificar)</t>
  </si>
  <si>
    <t>G</t>
  </si>
  <si>
    <t>Outras Remunerações 3 (Especificar)</t>
  </si>
  <si>
    <t>MÓDULO 2: ENCARGOS E BENEFÍCIOS ANUAIS, MENSAIS E DIÁRIOS</t>
  </si>
  <si>
    <t>Submódulo 2.2 - Encargos Previd. (GPS), FGTS e Outras Contribuições</t>
  </si>
  <si>
    <t>2.2</t>
  </si>
  <si>
    <t>Encargos Previd. (GPS), FGTS e Outras Contribuições</t>
  </si>
  <si>
    <t>Multiplicador</t>
  </si>
  <si>
    <t>FAP</t>
  </si>
  <si>
    <t>Submódulo 2.3 - Benefícios Mensais e Diários</t>
  </si>
  <si>
    <t>2.3</t>
  </si>
  <si>
    <t>Benefícios Mensais e Diários</t>
  </si>
  <si>
    <t>Frequência / Opção</t>
  </si>
  <si>
    <t>Transporte</t>
  </si>
  <si>
    <t>Diária</t>
  </si>
  <si>
    <t>Auxílio-Refeição/Alimentação</t>
  </si>
  <si>
    <t>A empresa aderiu ao PAT? Caso positivo, qual o percentual adotado?</t>
  </si>
  <si>
    <t>Outros Benefícios 1 (Especificar)</t>
  </si>
  <si>
    <t>Outros Benefícios 2 (Especificar)</t>
  </si>
  <si>
    <t>Outros Benefícios 3 (Especificar)</t>
  </si>
  <si>
    <t>Submódulo 2.4 - Intervalo Intrajornada</t>
  </si>
  <si>
    <t>2.4</t>
  </si>
  <si>
    <t>Intervalo Intrajornada</t>
  </si>
  <si>
    <t>% / Minutos</t>
  </si>
  <si>
    <t>Hora Extra (em %)</t>
  </si>
  <si>
    <t>Tempo de Intervalo para Refeição (em minutos)</t>
  </si>
  <si>
    <t>MÓDULO 4: CUSTO DE REPOSIÇÃO DO PROFISSIONAL AUSENTE</t>
  </si>
  <si>
    <t>Submódulo 4.1 - Substituto nas Ausências Legais</t>
  </si>
  <si>
    <t>4.1</t>
  </si>
  <si>
    <t>Substituto nas Ausências Legais</t>
  </si>
  <si>
    <t>%</t>
  </si>
  <si>
    <t>Outras Ausências (Especificar em %)</t>
  </si>
  <si>
    <t>Submódulo 4.2 - Substituto na Intrajornada</t>
  </si>
  <si>
    <t>4.2</t>
  </si>
  <si>
    <t>Substituto na Intrajornada</t>
  </si>
  <si>
    <t>MÓDULO 5: INSUMOS DIVERSOS</t>
  </si>
  <si>
    <t>Insumos Diversos</t>
  </si>
  <si>
    <t>Valor (R$)</t>
  </si>
  <si>
    <t>Uniformes</t>
  </si>
  <si>
    <t>Materiais</t>
  </si>
  <si>
    <t>Equipamentos</t>
  </si>
  <si>
    <t>MÓDULO 6: CUSTOS INDIRETOS, TRIBUTOS E LUCRO</t>
  </si>
  <si>
    <t>Custos Indiretos, Tributos e Lucro</t>
  </si>
  <si>
    <t>Custos Indiretos</t>
  </si>
  <si>
    <t>Lucro</t>
  </si>
  <si>
    <t>C.1</t>
  </si>
  <si>
    <t>PIS</t>
  </si>
  <si>
    <t>C.2</t>
  </si>
  <si>
    <t>Cofins</t>
  </si>
  <si>
    <t>C.3</t>
  </si>
  <si>
    <t>ISS</t>
  </si>
  <si>
    <t>OBSERVAÇÃO</t>
  </si>
  <si>
    <t>Para mais informações, consulte o Referencial Técnico de Custos, constante da página da Auditoria Interna do MPU na internet (www.auditoria.mpu.mp.br).</t>
  </si>
  <si>
    <t>DADOS ESTATÍSTICOS</t>
  </si>
  <si>
    <t>Dias / Horas / Minutos</t>
  </si>
  <si>
    <t>Divisor de Horas (em horas)</t>
  </si>
  <si>
    <t>Dias na Semana</t>
  </si>
  <si>
    <t>Dias no Ano</t>
  </si>
  <si>
    <t>I</t>
  </si>
  <si>
    <t>Média Anual de Dias Trabalhados no Mês</t>
  </si>
  <si>
    <t>J</t>
  </si>
  <si>
    <t xml:space="preserve">Meses no Ano </t>
  </si>
  <si>
    <t>K</t>
  </si>
  <si>
    <t>Hora Normal (em minutos)</t>
  </si>
  <si>
    <t>L</t>
  </si>
  <si>
    <t>Hora Noturna (em minutos)</t>
  </si>
  <si>
    <t>Frequência</t>
  </si>
  <si>
    <t>Desconto Remuneração Transporte</t>
  </si>
  <si>
    <t>Mensal</t>
  </si>
  <si>
    <t>Dias Trabalhados 12 x 36 horas</t>
  </si>
  <si>
    <t>Dias Trabalhados 44 horas</t>
  </si>
  <si>
    <t>MÓDULO 3: PROVISÃO PARA RESCISÃO</t>
  </si>
  <si>
    <t>Provisão para Rescisão</t>
  </si>
  <si>
    <t>Dias / %</t>
  </si>
  <si>
    <t>Pessoas demitidas sem justa causa / Total de desligamentos (em %)</t>
  </si>
  <si>
    <t>Empregados que recebem aviso prévio indenizado (em %)</t>
  </si>
  <si>
    <t>Multa do FGTS (em %)</t>
  </si>
  <si>
    <t>Empregados que recebem aviso prévio trabalhado (em %)</t>
  </si>
  <si>
    <t>Dias no mês</t>
  </si>
  <si>
    <t>Dias de Ausências Legais</t>
  </si>
  <si>
    <t>Dias de Licença-Paternidade</t>
  </si>
  <si>
    <t>Nascidos Vivos / População Feminina (em %)</t>
  </si>
  <si>
    <t>Participação Masculina (em %)</t>
  </si>
  <si>
    <t>Empregados afastados por acidente de trabalho (em %)</t>
  </si>
  <si>
    <t>Dias pagos pela empresa em acidentes de trabalho</t>
  </si>
  <si>
    <t>Dias de Licença-Maternidade</t>
  </si>
  <si>
    <t>H</t>
  </si>
  <si>
    <t>Participação Feminina (em %)</t>
  </si>
  <si>
    <t>ENCARGOS SOCIAIS E TRABALHISTAS</t>
  </si>
  <si>
    <t>Submódulo 2.1 - 13º (décimo terceiro) Salário e Adicional de Férias</t>
  </si>
  <si>
    <t>2.1</t>
  </si>
  <si>
    <t>13º Salário e Adicional de Férias</t>
  </si>
  <si>
    <t>Memória de Cálculo</t>
  </si>
  <si>
    <t>13º Salário</t>
  </si>
  <si>
    <t>(1/12) x 100</t>
  </si>
  <si>
    <t>Adicional de Férias</t>
  </si>
  <si>
    <t>[(1/3)/12] x 100</t>
  </si>
  <si>
    <t>Submódulo 2.2 - Encargos Previdencários (GPS), Fundo de Garantia por Tempo de Serviço (FGTS) e Outras Contribuições</t>
  </si>
  <si>
    <t>Encargos Previdenciários (GPS), Fundo de Garantia por Tempo de Serviço (FGTS) e outras contribuições</t>
  </si>
  <si>
    <t>INSS</t>
  </si>
  <si>
    <t>Salário Educação</t>
  </si>
  <si>
    <t>RAT x FAP*</t>
  </si>
  <si>
    <t>SESC</t>
  </si>
  <si>
    <t>SENAC</t>
  </si>
  <si>
    <t>SEBRAE</t>
  </si>
  <si>
    <t>INCRA</t>
  </si>
  <si>
    <t>FGTS</t>
  </si>
  <si>
    <t>TOTAL</t>
  </si>
  <si>
    <t>Aviso Prévio Indenizado</t>
  </si>
  <si>
    <t>[(62,93%) x 5,55% x (1/12)] x 100</t>
  </si>
  <si>
    <t>Incidência do FGTS sobre o Aviso Prévio Indenizado</t>
  </si>
  <si>
    <t>0,29% x 8,00% x 100</t>
  </si>
  <si>
    <t>Multa do FGTS sobre o Aviso Prévio Indenizado</t>
  </si>
  <si>
    <t>[(62,93%) x 5,55%x 40%  x 8,00% x 100</t>
  </si>
  <si>
    <t>Aviso Prévio Trabalhado</t>
  </si>
  <si>
    <t>[(62,93%) x 94,45% x (7/30)/12] x 100</t>
  </si>
  <si>
    <t xml:space="preserve">Incidência dos encargos do submódulo 2.2 sobre o Aviso Prévio Trabalhado </t>
  </si>
  <si>
    <t>1,16% x 36,80% x 100</t>
  </si>
  <si>
    <t>Multa do FGTS sobre o Aviso Prévio Trabalhado</t>
  </si>
  <si>
    <t>[(62,93%) x 94,45% x 40%  x 8,00% x 100</t>
  </si>
  <si>
    <t xml:space="preserve">Substituto na Cobertura de Férias </t>
  </si>
  <si>
    <t xml:space="preserve">(1/12) x 100 </t>
  </si>
  <si>
    <t>Substituto na Cobertura de Ausências Legais</t>
  </si>
  <si>
    <t>[(8/30)/12] x 100</t>
  </si>
  <si>
    <t>Substituto na Cobertura de Licença-Paternidade</t>
  </si>
  <si>
    <t>{[(5/30)/12] x 1,416% x 45,22%} x 100</t>
  </si>
  <si>
    <t>Substituto na Cobertura de Ausência por Acidente de Trabalho</t>
  </si>
  <si>
    <t>[(15/30)/12] x 0,44%} x 100</t>
  </si>
  <si>
    <t>Substituto na Cobertura de Afastamento Maternidade</t>
  </si>
  <si>
    <t>{[(120/30)/12] x 1,416% x 54,78% x 36,80%} x 100</t>
  </si>
  <si>
    <t xml:space="preserve">*FAP - Deverá estar previsto na proposta da empresa licitante e comprovada sua incidência posteriormente. </t>
  </si>
  <si>
    <t>CUSTOS REFERENTES AO POSTO</t>
  </si>
  <si>
    <t>Nº do Processo</t>
  </si>
  <si>
    <t>Modalidade de Licitação</t>
  </si>
  <si>
    <t>DISCRIMINAÇÃO DOS SERVIÇOS (DADOS REFERENTES À CONTRATAÇÃO)</t>
  </si>
  <si>
    <t>Quantidade de Postos</t>
  </si>
  <si>
    <t>Tipo de Serviço (mesmo serviço com características distintas)</t>
  </si>
  <si>
    <t>PLANILHA DE CUSTOS E FORMAÇÃO DE PREÇOS</t>
  </si>
  <si>
    <t>EMPREGADOS POR POSTO</t>
  </si>
  <si>
    <t>Salário-Base</t>
  </si>
  <si>
    <t>Adicional de Periculosidade</t>
  </si>
  <si>
    <t>Adicional Noturno</t>
  </si>
  <si>
    <t>Adicional de Hora Noturna Reduzida (em %)</t>
  </si>
  <si>
    <t>Adicional de Insalubridade</t>
  </si>
  <si>
    <t>Substituto na Cobertura de Intervalo para Repouso e Alimentação</t>
  </si>
  <si>
    <t>Tributos</t>
  </si>
  <si>
    <t>QUADRO RESUMO - CUSTO POR EMPREGADO</t>
  </si>
  <si>
    <t>MÓD.</t>
  </si>
  <si>
    <t>Mão-de-obra vinculada à execução contratual (valor por empregado)</t>
  </si>
  <si>
    <t>Valor    (R$)</t>
  </si>
  <si>
    <t>Encargos e Benefícios Anuais, Mensais e Diários</t>
  </si>
  <si>
    <t>Custo de Reposição do Profissional Ausente</t>
  </si>
  <si>
    <t>VALOR TOTAL DO EMPREGADO</t>
  </si>
  <si>
    <t>VALOR TOTAL POR POSTO</t>
  </si>
  <si>
    <t>VALOR TOTAL DA CATEGORIA</t>
  </si>
  <si>
    <t>RAMO: CONSELHO NACIONAL DO MINISTÉRIO PÚBLICO</t>
  </si>
  <si>
    <t>UNIDADE GESTORA (SIGLA): CNMP</t>
  </si>
  <si>
    <t>19.00.6150.0002989/2025-03</t>
  </si>
  <si>
    <t>CNMP</t>
  </si>
  <si>
    <t>DF</t>
  </si>
  <si>
    <t>26/2026</t>
  </si>
  <si>
    <t>POSTO</t>
  </si>
  <si>
    <t>EPI</t>
  </si>
  <si>
    <t>Materiais insumos + duráveis</t>
  </si>
  <si>
    <t>MARCENEIRO MODELISTA</t>
  </si>
  <si>
    <t>7711-10</t>
  </si>
  <si>
    <t>Equipamentos (armário)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</si>
</sst>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#,##0.0000;\-#,##0.0000"/>
    <numFmt numFmtId="165" formatCode="#,##0.0"/>
    <numFmt numFmtId="166" formatCode="#,##0.00_ ;\-#,##0.00\ "/>
  </numFmts>
  <fonts count="19" x14ac:knownFonts="1">
    <font>
      <sz val="10"/>
      <color rgb="FF000000"/>
      <name val="Arial"/>
      <scheme val="minor"/>
    </font>
    <font>
      <sz val="11"/>
      <color theme="1"/>
      <name val="Segoe UI Light"/>
      <family val="2"/>
    </font>
    <font>
      <sz val="14"/>
      <color theme="1"/>
      <name val="Segoe UI Light"/>
      <family val="2"/>
    </font>
    <font>
      <sz val="10"/>
      <name val="Segoe UI Light"/>
      <family val="2"/>
    </font>
    <font>
      <sz val="10"/>
      <color rgb="FF000000"/>
      <name val="Segoe UI Light"/>
      <family val="2"/>
    </font>
    <font>
      <sz val="8"/>
      <color theme="1"/>
      <name val="Segoe UI Light"/>
      <family val="2"/>
    </font>
    <font>
      <b/>
      <sz val="16"/>
      <color rgb="FF632423"/>
      <name val="Segoe UI Light"/>
      <family val="2"/>
    </font>
    <font>
      <b/>
      <sz val="11"/>
      <color theme="0"/>
      <name val="Segoe UI Light"/>
      <family val="2"/>
    </font>
    <font>
      <b/>
      <sz val="12"/>
      <color rgb="FF632423"/>
      <name val="Segoe UI Light"/>
      <family val="2"/>
    </font>
    <font>
      <sz val="11"/>
      <color rgb="FF953734"/>
      <name val="Segoe UI Light"/>
      <family val="2"/>
    </font>
    <font>
      <b/>
      <sz val="20"/>
      <color rgb="FF953734"/>
      <name val="Segoe UI Light"/>
      <family val="2"/>
    </font>
    <font>
      <b/>
      <sz val="11"/>
      <color rgb="FF632423"/>
      <name val="Segoe UI Light"/>
      <family val="2"/>
    </font>
    <font>
      <b/>
      <sz val="11"/>
      <color theme="1"/>
      <name val="Segoe UI Light"/>
      <family val="2"/>
    </font>
    <font>
      <sz val="11"/>
      <color rgb="FFFF0000"/>
      <name val="Segoe UI Light"/>
      <family val="2"/>
    </font>
    <font>
      <b/>
      <sz val="16"/>
      <color theme="1"/>
      <name val="Segoe UI Light"/>
      <family val="2"/>
    </font>
    <font>
      <i/>
      <sz val="10"/>
      <color theme="0"/>
      <name val="Segoe UI Light"/>
      <family val="2"/>
    </font>
    <font>
      <i/>
      <sz val="10"/>
      <color theme="1"/>
      <name val="Segoe UI Light"/>
      <family val="2"/>
    </font>
    <font>
      <b/>
      <sz val="14"/>
      <color rgb="FF632423"/>
      <name val="Segoe UI Light"/>
      <family val="2"/>
    </font>
    <font>
      <b/>
      <sz val="14"/>
      <color rgb="FF953734"/>
      <name val="Segoe UI Light"/>
      <family val="2"/>
    </font>
  </fonts>
  <fills count="9">
    <fill>
      <patternFill patternType="none"/>
    </fill>
    <fill>
      <patternFill patternType="gray125"/>
    </fill>
    <fill>
      <patternFill patternType="solid">
        <fgColor theme="0"/>
        <bgColor theme="0"/>
      </patternFill>
    </fill>
    <fill>
      <patternFill patternType="solid">
        <fgColor theme="9"/>
        <bgColor theme="9"/>
      </patternFill>
    </fill>
    <fill>
      <patternFill patternType="solid">
        <fgColor rgb="FFFDE9D9"/>
        <bgColor rgb="FFFDE9D9"/>
      </patternFill>
    </fill>
    <fill>
      <patternFill patternType="solid">
        <fgColor rgb="FFD55816"/>
        <bgColor rgb="FFD55816"/>
      </patternFill>
    </fill>
    <fill>
      <patternFill patternType="solid">
        <fgColor rgb="FFFBD4B4"/>
        <bgColor rgb="FFFBD4B4"/>
      </patternFill>
    </fill>
    <fill>
      <patternFill patternType="solid">
        <fgColor rgb="FFFFFFFF"/>
        <bgColor rgb="FFFFFFFF"/>
      </patternFill>
    </fill>
    <fill>
      <patternFill patternType="solid">
        <fgColor rgb="FFF79646"/>
        <bgColor rgb="FFF79646"/>
      </patternFill>
    </fill>
  </fills>
  <borders count="24">
    <border>
      <left/>
      <right/>
      <top/>
      <bottom/>
      <diagonal/>
    </border>
    <border>
      <left/>
      <right/>
      <top/>
      <bottom/>
      <diagonal/>
    </border>
    <border>
      <left style="thin">
        <color rgb="FFF2F2F2"/>
      </left>
      <right/>
      <top style="thin">
        <color rgb="FFF2F2F2"/>
      </top>
      <bottom style="thin">
        <color rgb="FFF2F2F2"/>
      </bottom>
      <diagonal/>
    </border>
    <border>
      <left/>
      <right/>
      <top style="thin">
        <color rgb="FFF2F2F2"/>
      </top>
      <bottom style="thin">
        <color rgb="FFF2F2F2"/>
      </bottom>
      <diagonal/>
    </border>
    <border>
      <left/>
      <right style="thin">
        <color rgb="FFF2F2F2"/>
      </right>
      <top style="thin">
        <color rgb="FFF2F2F2"/>
      </top>
      <bottom style="thin">
        <color rgb="FFF2F2F2"/>
      </bottom>
      <diagonal/>
    </border>
    <border>
      <left style="thin">
        <color rgb="FFF2F2F2"/>
      </left>
      <right/>
      <top style="thin">
        <color rgb="FFF2F2F2"/>
      </top>
      <bottom style="thin">
        <color rgb="FFF2F2F2"/>
      </bottom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 style="thin">
        <color rgb="FFF2F2F2"/>
      </left>
      <right/>
      <top/>
      <bottom style="thin">
        <color rgb="FFF2F2F2"/>
      </bottom>
      <diagonal/>
    </border>
    <border>
      <left/>
      <right/>
      <top/>
      <bottom style="thin">
        <color rgb="FFF2F2F2"/>
      </bottom>
      <diagonal/>
    </border>
    <border>
      <left/>
      <right style="thin">
        <color rgb="FFF2F2F2"/>
      </right>
      <top/>
      <bottom style="thin">
        <color rgb="FFF2F2F2"/>
      </bottom>
      <diagonal/>
    </border>
    <border>
      <left style="thin">
        <color rgb="FFF2F2F2"/>
      </left>
      <right style="thin">
        <color rgb="FFF2F2F2"/>
      </right>
      <top style="thin">
        <color rgb="FFF2F2F2"/>
      </top>
      <bottom style="thin">
        <color rgb="FFF2F2F2"/>
      </bottom>
      <diagonal/>
    </border>
    <border>
      <left/>
      <right/>
      <top style="thin">
        <color rgb="FFF2F2F2"/>
      </top>
      <bottom/>
      <diagonal/>
    </border>
    <border>
      <left/>
      <right/>
      <top style="thin">
        <color rgb="FFF2F2F2"/>
      </top>
      <bottom/>
      <diagonal/>
    </border>
    <border>
      <left/>
      <right/>
      <top style="thin">
        <color rgb="FFF2F2F2"/>
      </top>
      <bottom/>
      <diagonal/>
    </border>
    <border>
      <left/>
      <right style="thin">
        <color rgb="FFF2F2F2"/>
      </right>
      <top style="thin">
        <color rgb="FFF2F2F2"/>
      </top>
      <bottom style="thin">
        <color rgb="FFF2F2F2"/>
      </bottom>
      <diagonal/>
    </border>
    <border>
      <left/>
      <right/>
      <top style="thin">
        <color rgb="FFF2F2F2"/>
      </top>
      <bottom style="thin">
        <color rgb="FFF2F2F2"/>
      </bottom>
      <diagonal/>
    </border>
    <border>
      <left style="thin">
        <color rgb="FFD8D8D8"/>
      </left>
      <right style="thin">
        <color rgb="FFD8D8D8"/>
      </right>
      <top style="thin">
        <color rgb="FFD8D8D8"/>
      </top>
      <bottom style="thin">
        <color rgb="FFD8D8D8"/>
      </bottom>
      <diagonal/>
    </border>
    <border>
      <left style="thin">
        <color rgb="FFD8D8D8"/>
      </left>
      <right/>
      <top style="thin">
        <color rgb="FFD8D8D8"/>
      </top>
      <bottom style="thin">
        <color rgb="FFD8D8D8"/>
      </bottom>
      <diagonal/>
    </border>
    <border>
      <left/>
      <right/>
      <top style="thin">
        <color rgb="FFD8D8D8"/>
      </top>
      <bottom style="thin">
        <color rgb="FFD8D8D8"/>
      </bottom>
      <diagonal/>
    </border>
    <border>
      <left/>
      <right style="thin">
        <color rgb="FFD8D8D8"/>
      </right>
      <top style="thin">
        <color rgb="FFD8D8D8"/>
      </top>
      <bottom style="thin">
        <color rgb="FFD8D8D8"/>
      </bottom>
      <diagonal/>
    </border>
    <border>
      <left/>
      <right/>
      <top/>
      <bottom style="thin">
        <color rgb="FFF2F2F2"/>
      </bottom>
      <diagonal/>
    </border>
    <border>
      <left/>
      <right/>
      <top/>
      <bottom style="thin">
        <color rgb="FFF2F2F2"/>
      </bottom>
      <diagonal/>
    </border>
  </borders>
  <cellStyleXfs count="1">
    <xf numFmtId="0" fontId="0" fillId="0" borderId="0"/>
  </cellStyleXfs>
  <cellXfs count="160">
    <xf numFmtId="0" fontId="0" fillId="0" borderId="0" xfId="0"/>
    <xf numFmtId="0" fontId="1" fillId="2" borderId="1" xfId="0" applyFont="1" applyFill="1" applyBorder="1"/>
    <xf numFmtId="0" fontId="4" fillId="0" borderId="0" xfId="0" applyFont="1"/>
    <xf numFmtId="14" fontId="2" fillId="4" borderId="5" xfId="0" applyNumberFormat="1" applyFont="1" applyFill="1" applyBorder="1" applyAlignment="1">
      <alignment horizontal="right"/>
    </xf>
    <xf numFmtId="14" fontId="2" fillId="4" borderId="5" xfId="0" applyNumberFormat="1" applyFont="1" applyFill="1" applyBorder="1"/>
    <xf numFmtId="0" fontId="5" fillId="2" borderId="1" xfId="0" applyFont="1" applyFill="1" applyBorder="1"/>
    <xf numFmtId="49" fontId="1" fillId="4" borderId="12" xfId="0" applyNumberFormat="1" applyFont="1" applyFill="1" applyBorder="1" applyAlignment="1">
      <alignment horizontal="center"/>
    </xf>
    <xf numFmtId="0" fontId="7" fillId="5" borderId="12" xfId="0" applyFont="1" applyFill="1" applyBorder="1" applyAlignment="1">
      <alignment horizontal="center"/>
    </xf>
    <xf numFmtId="14" fontId="1" fillId="6" borderId="12" xfId="0" applyNumberFormat="1" applyFont="1" applyFill="1" applyBorder="1" applyAlignment="1">
      <alignment horizontal="center"/>
    </xf>
    <xf numFmtId="0" fontId="7" fillId="5" borderId="12" xfId="0" applyFont="1" applyFill="1" applyBorder="1" applyAlignment="1">
      <alignment horizontal="center" vertical="center"/>
    </xf>
    <xf numFmtId="0" fontId="1" fillId="4" borderId="12" xfId="0" applyFont="1" applyFill="1" applyBorder="1" applyAlignment="1">
      <alignment horizontal="left" vertical="center" wrapText="1"/>
    </xf>
    <xf numFmtId="2" fontId="1" fillId="6" borderId="12" xfId="0" applyNumberFormat="1" applyFont="1" applyFill="1" applyBorder="1" applyAlignment="1">
      <alignment horizontal="center"/>
    </xf>
    <xf numFmtId="0" fontId="1" fillId="4" borderId="12" xfId="0" applyFont="1" applyFill="1" applyBorder="1" applyAlignment="1">
      <alignment horizontal="center"/>
    </xf>
    <xf numFmtId="0" fontId="1" fillId="6" borderId="12" xfId="0" applyFont="1" applyFill="1" applyBorder="1" applyAlignment="1">
      <alignment horizontal="center"/>
    </xf>
    <xf numFmtId="0" fontId="5" fillId="2" borderId="1" xfId="0" applyFont="1" applyFill="1" applyBorder="1" applyAlignment="1">
      <alignment vertical="top"/>
    </xf>
    <xf numFmtId="0" fontId="6" fillId="2" borderId="1" xfId="0" applyFont="1" applyFill="1" applyBorder="1" applyAlignment="1">
      <alignment vertical="center"/>
    </xf>
    <xf numFmtId="0" fontId="1" fillId="2" borderId="1" xfId="0" applyFont="1" applyFill="1" applyBorder="1" applyAlignment="1">
      <alignment vertical="top"/>
    </xf>
    <xf numFmtId="0" fontId="1" fillId="4" borderId="12" xfId="0" applyFont="1" applyFill="1" applyBorder="1"/>
    <xf numFmtId="0" fontId="1" fillId="6" borderId="12" xfId="0" applyFont="1" applyFill="1" applyBorder="1"/>
    <xf numFmtId="14" fontId="1" fillId="4" borderId="12" xfId="0" applyNumberFormat="1" applyFont="1" applyFill="1" applyBorder="1" applyAlignment="1">
      <alignment horizontal="center"/>
    </xf>
    <xf numFmtId="0" fontId="9" fillId="2" borderId="1" xfId="0" applyFont="1" applyFill="1" applyBorder="1"/>
    <xf numFmtId="37" fontId="1" fillId="6" borderId="12" xfId="0" applyNumberFormat="1" applyFont="1" applyFill="1" applyBorder="1" applyAlignment="1">
      <alignment horizontal="center"/>
    </xf>
    <xf numFmtId="0" fontId="11" fillId="2" borderId="1" xfId="0" applyFont="1" applyFill="1" applyBorder="1" applyAlignment="1">
      <alignment horizontal="left"/>
    </xf>
    <xf numFmtId="39" fontId="1" fillId="2" borderId="1" xfId="0" applyNumberFormat="1" applyFont="1" applyFill="1" applyBorder="1" applyAlignment="1">
      <alignment horizontal="right"/>
    </xf>
    <xf numFmtId="0" fontId="7" fillId="5" borderId="12" xfId="0" applyFont="1" applyFill="1" applyBorder="1" applyAlignment="1">
      <alignment horizontal="center" vertical="center" wrapText="1"/>
    </xf>
    <xf numFmtId="4" fontId="1" fillId="6" borderId="12" xfId="0" applyNumberFormat="1" applyFont="1" applyFill="1" applyBorder="1" applyAlignment="1">
      <alignment horizontal="right" vertical="center" wrapText="1"/>
    </xf>
    <xf numFmtId="4" fontId="1" fillId="4" borderId="12" xfId="0" applyNumberFormat="1" applyFont="1" applyFill="1" applyBorder="1" applyAlignment="1">
      <alignment horizontal="right" vertical="center" wrapText="1"/>
    </xf>
    <xf numFmtId="4" fontId="7" fillId="5" borderId="12" xfId="0" applyNumberFormat="1" applyFont="1" applyFill="1" applyBorder="1" applyAlignment="1">
      <alignment horizontal="right" vertical="center" wrapText="1"/>
    </xf>
    <xf numFmtId="39" fontId="1" fillId="2" borderId="1" xfId="0" applyNumberFormat="1" applyFont="1" applyFill="1" applyBorder="1" applyAlignment="1">
      <alignment horizontal="center"/>
    </xf>
    <xf numFmtId="0" fontId="12" fillId="2" borderId="1" xfId="0" applyFont="1" applyFill="1" applyBorder="1" applyAlignment="1">
      <alignment horizontal="left" vertical="center" wrapText="1"/>
    </xf>
    <xf numFmtId="0" fontId="12" fillId="2" borderId="1" xfId="0" applyFont="1" applyFill="1" applyBorder="1" applyAlignment="1">
      <alignment horizontal="center" vertical="center" wrapText="1"/>
    </xf>
    <xf numFmtId="39" fontId="12" fillId="2" borderId="1" xfId="0" applyNumberFormat="1" applyFont="1" applyFill="1" applyBorder="1" applyAlignment="1">
      <alignment horizontal="center" vertical="center" wrapText="1"/>
    </xf>
    <xf numFmtId="2" fontId="1" fillId="6" borderId="12" xfId="0" applyNumberFormat="1" applyFont="1" applyFill="1" applyBorder="1" applyAlignment="1">
      <alignment horizontal="center" vertical="center" wrapText="1"/>
    </xf>
    <xf numFmtId="39" fontId="1" fillId="6" borderId="12" xfId="0" applyNumberFormat="1" applyFont="1" applyFill="1" applyBorder="1" applyAlignment="1">
      <alignment horizontal="right" vertical="center" wrapText="1"/>
    </xf>
    <xf numFmtId="2" fontId="1" fillId="4" borderId="12" xfId="0" applyNumberFormat="1" applyFont="1" applyFill="1" applyBorder="1" applyAlignment="1">
      <alignment horizontal="center" vertical="center"/>
    </xf>
    <xf numFmtId="39" fontId="1" fillId="4" borderId="12" xfId="0" applyNumberFormat="1" applyFont="1" applyFill="1" applyBorder="1" applyAlignment="1">
      <alignment horizontal="right" vertical="center" wrapText="1"/>
    </xf>
    <xf numFmtId="0" fontId="13" fillId="2" borderId="1" xfId="0" applyFont="1" applyFill="1" applyBorder="1"/>
    <xf numFmtId="4" fontId="7" fillId="5" borderId="12" xfId="0" applyNumberFormat="1" applyFont="1" applyFill="1" applyBorder="1" applyAlignment="1">
      <alignment horizontal="right"/>
    </xf>
    <xf numFmtId="2" fontId="1" fillId="4" borderId="12" xfId="0" applyNumberFormat="1" applyFont="1" applyFill="1" applyBorder="1" applyAlignment="1">
      <alignment horizontal="center" vertical="center" wrapText="1"/>
    </xf>
    <xf numFmtId="4" fontId="7" fillId="5" borderId="12" xfId="0" applyNumberFormat="1" applyFont="1" applyFill="1" applyBorder="1" applyAlignment="1">
      <alignment horizontal="right" vertical="center"/>
    </xf>
    <xf numFmtId="0" fontId="14" fillId="2" borderId="1" xfId="0" applyFont="1" applyFill="1" applyBorder="1" applyAlignment="1">
      <alignment horizontal="left" vertical="center"/>
    </xf>
    <xf numFmtId="0" fontId="1" fillId="2" borderId="1" xfId="0" applyFont="1" applyFill="1" applyBorder="1" applyAlignment="1">
      <alignment horizontal="center"/>
    </xf>
    <xf numFmtId="166" fontId="1" fillId="4" borderId="12" xfId="0" applyNumberFormat="1" applyFont="1" applyFill="1" applyBorder="1" applyAlignment="1">
      <alignment horizontal="center" vertical="center" wrapText="1"/>
    </xf>
    <xf numFmtId="0" fontId="7" fillId="5" borderId="18" xfId="0" applyFont="1" applyFill="1" applyBorder="1" applyAlignment="1">
      <alignment horizontal="center" vertical="center"/>
    </xf>
    <xf numFmtId="0" fontId="7" fillId="5" borderId="18" xfId="0" applyFont="1" applyFill="1" applyBorder="1" applyAlignment="1">
      <alignment horizontal="center" vertical="center" wrapText="1"/>
    </xf>
    <xf numFmtId="0" fontId="7" fillId="5" borderId="18" xfId="0" applyFont="1" applyFill="1" applyBorder="1" applyAlignment="1">
      <alignment horizontal="center"/>
    </xf>
    <xf numFmtId="39" fontId="1" fillId="6" borderId="18" xfId="0" applyNumberFormat="1" applyFont="1" applyFill="1" applyBorder="1" applyAlignment="1">
      <alignment horizontal="right" vertical="center" wrapText="1"/>
    </xf>
    <xf numFmtId="39" fontId="1" fillId="4" borderId="18" xfId="0" applyNumberFormat="1" applyFont="1" applyFill="1" applyBorder="1" applyAlignment="1">
      <alignment horizontal="right" vertical="center" wrapText="1"/>
    </xf>
    <xf numFmtId="4" fontId="7" fillId="5" borderId="18" xfId="0" applyNumberFormat="1" applyFont="1" applyFill="1" applyBorder="1" applyAlignment="1">
      <alignment horizontal="right" vertical="center" wrapText="1"/>
    </xf>
    <xf numFmtId="39" fontId="1" fillId="6" borderId="12" xfId="0" applyNumberFormat="1" applyFont="1" applyFill="1" applyBorder="1" applyAlignment="1">
      <alignment horizontal="center" vertical="center" wrapText="1"/>
    </xf>
    <xf numFmtId="39" fontId="1" fillId="4" borderId="12" xfId="0" applyNumberFormat="1" applyFont="1" applyFill="1" applyBorder="1" applyAlignment="1">
      <alignment horizontal="center" vertical="center" wrapText="1"/>
    </xf>
    <xf numFmtId="0" fontId="15" fillId="5" borderId="12" xfId="0" applyFont="1" applyFill="1" applyBorder="1" applyAlignment="1">
      <alignment horizontal="center" vertical="center" wrapText="1"/>
    </xf>
    <xf numFmtId="39" fontId="16" fillId="4" borderId="12" xfId="0" applyNumberFormat="1" applyFont="1" applyFill="1" applyBorder="1" applyAlignment="1">
      <alignment horizontal="center" vertical="center" wrapText="1"/>
    </xf>
    <xf numFmtId="39" fontId="16" fillId="4" borderId="12" xfId="0" applyNumberFormat="1" applyFont="1" applyFill="1" applyBorder="1" applyAlignment="1">
      <alignment horizontal="right" vertical="center" wrapText="1"/>
    </xf>
    <xf numFmtId="39" fontId="16" fillId="6" borderId="12" xfId="0" applyNumberFormat="1" applyFont="1" applyFill="1" applyBorder="1" applyAlignment="1">
      <alignment horizontal="center" vertical="center" wrapText="1"/>
    </xf>
    <xf numFmtId="39" fontId="16" fillId="6" borderId="12" xfId="0" applyNumberFormat="1" applyFont="1" applyFill="1" applyBorder="1" applyAlignment="1">
      <alignment horizontal="right" vertical="center" wrapText="1"/>
    </xf>
    <xf numFmtId="0" fontId="13" fillId="2" borderId="1" xfId="0" applyFont="1" applyFill="1" applyBorder="1" applyAlignment="1">
      <alignment wrapText="1"/>
    </xf>
    <xf numFmtId="39" fontId="7" fillId="5" borderId="12" xfId="0" applyNumberFormat="1" applyFont="1" applyFill="1" applyBorder="1" applyAlignment="1">
      <alignment horizontal="right" vertical="center" wrapText="1"/>
    </xf>
    <xf numFmtId="0" fontId="17" fillId="2" borderId="1" xfId="0" applyFont="1" applyFill="1" applyBorder="1" applyAlignment="1">
      <alignment horizontal="left" vertical="center"/>
    </xf>
    <xf numFmtId="0" fontId="1" fillId="2" borderId="1" xfId="0" applyFont="1" applyFill="1" applyBorder="1" applyAlignment="1">
      <alignment horizontal="left" vertical="center" wrapText="1"/>
    </xf>
    <xf numFmtId="39" fontId="1" fillId="2" borderId="1" xfId="0" applyNumberFormat="1" applyFont="1" applyFill="1" applyBorder="1" applyAlignment="1">
      <alignment horizontal="center" vertical="center" wrapText="1"/>
    </xf>
    <xf numFmtId="0" fontId="13" fillId="2" borderId="1" xfId="0" applyFont="1" applyFill="1" applyBorder="1" applyAlignment="1">
      <alignment horizontal="center" wrapText="1"/>
    </xf>
    <xf numFmtId="0" fontId="1" fillId="2" borderId="1" xfId="0" applyFont="1" applyFill="1" applyBorder="1" applyAlignment="1">
      <alignment wrapText="1"/>
    </xf>
    <xf numFmtId="0" fontId="6" fillId="2" borderId="1" xfId="0" applyFont="1" applyFill="1" applyBorder="1"/>
    <xf numFmtId="2" fontId="7" fillId="5" borderId="12" xfId="0" applyNumberFormat="1" applyFont="1" applyFill="1" applyBorder="1" applyAlignment="1">
      <alignment horizontal="center" vertical="center"/>
    </xf>
    <xf numFmtId="0" fontId="18" fillId="2" borderId="1" xfId="0" applyFont="1" applyFill="1" applyBorder="1" applyAlignment="1">
      <alignment horizontal="left" vertical="center"/>
    </xf>
    <xf numFmtId="0" fontId="7" fillId="5" borderId="16" xfId="0" applyFont="1" applyFill="1" applyBorder="1" applyAlignment="1">
      <alignment horizontal="center" vertical="center"/>
    </xf>
    <xf numFmtId="0" fontId="9" fillId="2" borderId="1" xfId="0" applyFont="1" applyFill="1" applyBorder="1" applyAlignment="1">
      <alignment horizontal="left" vertical="center" wrapText="1"/>
    </xf>
    <xf numFmtId="39" fontId="9" fillId="2" borderId="1" xfId="0" applyNumberFormat="1" applyFont="1" applyFill="1" applyBorder="1" applyAlignment="1">
      <alignment horizontal="center" vertical="center" wrapText="1"/>
    </xf>
    <xf numFmtId="3" fontId="1" fillId="6" borderId="12" xfId="0" applyNumberFormat="1" applyFont="1" applyFill="1" applyBorder="1" applyAlignment="1" applyProtection="1">
      <alignment horizontal="right" vertical="center" wrapText="1"/>
      <protection locked="0"/>
    </xf>
    <xf numFmtId="3" fontId="1" fillId="4" borderId="12" xfId="0" applyNumberFormat="1" applyFont="1" applyFill="1" applyBorder="1" applyAlignment="1" applyProtection="1">
      <alignment horizontal="right" vertical="center" wrapText="1"/>
      <protection locked="0"/>
    </xf>
    <xf numFmtId="165" fontId="1" fillId="4" borderId="12" xfId="0" applyNumberFormat="1" applyFont="1" applyFill="1" applyBorder="1" applyAlignment="1" applyProtection="1">
      <alignment horizontal="right" vertical="center" wrapText="1"/>
      <protection locked="0"/>
    </xf>
    <xf numFmtId="165" fontId="1" fillId="6" borderId="12" xfId="0" applyNumberFormat="1" applyFont="1" applyFill="1" applyBorder="1" applyAlignment="1" applyProtection="1">
      <alignment horizontal="right" vertical="center" wrapText="1"/>
      <protection locked="0"/>
    </xf>
    <xf numFmtId="37" fontId="1" fillId="6" borderId="12" xfId="0" applyNumberFormat="1" applyFont="1" applyFill="1" applyBorder="1" applyAlignment="1" applyProtection="1">
      <alignment horizontal="right" vertical="center" wrapText="1"/>
      <protection locked="0"/>
    </xf>
    <xf numFmtId="37" fontId="1" fillId="4" borderId="12" xfId="0" applyNumberFormat="1" applyFont="1" applyFill="1" applyBorder="1" applyAlignment="1" applyProtection="1">
      <alignment horizontal="right" vertical="center" wrapText="1"/>
      <protection locked="0"/>
    </xf>
    <xf numFmtId="39" fontId="1" fillId="6" borderId="12" xfId="0" applyNumberFormat="1" applyFont="1" applyFill="1" applyBorder="1" applyAlignment="1" applyProtection="1">
      <alignment horizontal="right" vertical="center" wrapText="1"/>
      <protection locked="0"/>
    </xf>
    <xf numFmtId="39" fontId="1" fillId="4" borderId="12" xfId="0" applyNumberFormat="1" applyFont="1" applyFill="1" applyBorder="1" applyAlignment="1" applyProtection="1">
      <alignment horizontal="right" vertical="center" wrapText="1"/>
      <protection locked="0"/>
    </xf>
    <xf numFmtId="0" fontId="2" fillId="4" borderId="5" xfId="0" applyFont="1" applyFill="1" applyBorder="1" applyAlignment="1">
      <alignment horizontal="right"/>
    </xf>
    <xf numFmtId="0" fontId="12" fillId="7" borderId="1" xfId="0" applyFont="1" applyFill="1" applyBorder="1"/>
    <xf numFmtId="0" fontId="12" fillId="7" borderId="1" xfId="0" applyFont="1" applyFill="1" applyBorder="1" applyAlignment="1">
      <alignment horizontal="left"/>
    </xf>
    <xf numFmtId="49" fontId="1" fillId="7" borderId="1" xfId="0" applyNumberFormat="1" applyFont="1" applyFill="1" applyBorder="1" applyAlignment="1">
      <alignment horizontal="center"/>
    </xf>
    <xf numFmtId="0" fontId="5" fillId="2" borderId="1" xfId="0" applyFont="1" applyFill="1" applyBorder="1" applyAlignment="1">
      <alignment horizontal="center" vertical="center"/>
    </xf>
    <xf numFmtId="0" fontId="7" fillId="5" borderId="5" xfId="0" applyFont="1" applyFill="1" applyBorder="1" applyAlignment="1">
      <alignment horizontal="center" vertical="center"/>
    </xf>
    <xf numFmtId="0" fontId="7" fillId="5" borderId="5" xfId="0" applyFont="1" applyFill="1" applyBorder="1" applyAlignment="1">
      <alignment horizontal="center" vertical="center" wrapText="1"/>
    </xf>
    <xf numFmtId="0" fontId="7" fillId="2" borderId="1" xfId="0" applyFont="1" applyFill="1" applyBorder="1" applyAlignment="1">
      <alignment horizontal="center"/>
    </xf>
    <xf numFmtId="0" fontId="1" fillId="2" borderId="1" xfId="0" applyFont="1" applyFill="1" applyBorder="1" applyAlignment="1">
      <alignment horizontal="left"/>
    </xf>
    <xf numFmtId="14" fontId="1" fillId="2" borderId="1" xfId="0" applyNumberFormat="1" applyFont="1" applyFill="1" applyBorder="1" applyAlignment="1">
      <alignment horizontal="center"/>
    </xf>
    <xf numFmtId="49" fontId="1" fillId="3" borderId="12" xfId="0" applyNumberFormat="1" applyFont="1" applyFill="1" applyBorder="1" applyAlignment="1" applyProtection="1">
      <alignment horizontal="center"/>
      <protection locked="0"/>
    </xf>
    <xf numFmtId="14" fontId="1" fillId="3" borderId="12" xfId="0" applyNumberFormat="1" applyFont="1" applyFill="1" applyBorder="1" applyAlignment="1" applyProtection="1">
      <alignment horizontal="center"/>
      <protection locked="0"/>
    </xf>
    <xf numFmtId="0" fontId="1" fillId="3" borderId="12" xfId="0" applyFont="1" applyFill="1" applyBorder="1" applyAlignment="1" applyProtection="1">
      <alignment horizontal="center" vertical="center"/>
      <protection locked="0"/>
    </xf>
    <xf numFmtId="49" fontId="1" fillId="3" borderId="5" xfId="0" applyNumberFormat="1" applyFont="1" applyFill="1" applyBorder="1" applyAlignment="1" applyProtection="1">
      <alignment horizontal="left" vertical="center" wrapText="1"/>
      <protection locked="0"/>
    </xf>
    <xf numFmtId="0" fontId="1" fillId="3" borderId="5" xfId="0" applyFont="1" applyFill="1" applyBorder="1" applyAlignment="1" applyProtection="1">
      <alignment horizontal="center" vertical="center" wrapText="1"/>
      <protection locked="0"/>
    </xf>
    <xf numFmtId="0" fontId="1" fillId="3" borderId="12" xfId="0" applyFont="1" applyFill="1" applyBorder="1" applyAlignment="1" applyProtection="1">
      <alignment horizontal="center" vertical="center" wrapText="1"/>
      <protection locked="0"/>
    </xf>
    <xf numFmtId="4" fontId="1" fillId="3" borderId="1" xfId="0" applyNumberFormat="1" applyFont="1" applyFill="1" applyBorder="1" applyAlignment="1" applyProtection="1">
      <alignment horizontal="center" vertical="center" wrapText="1"/>
      <protection locked="0"/>
    </xf>
    <xf numFmtId="4" fontId="1" fillId="3" borderId="12" xfId="0" applyNumberFormat="1" applyFont="1" applyFill="1" applyBorder="1" applyAlignment="1" applyProtection="1">
      <alignment horizontal="right"/>
      <protection locked="0"/>
    </xf>
    <xf numFmtId="4" fontId="1" fillId="3" borderId="12" xfId="0" applyNumberFormat="1" applyFont="1" applyFill="1" applyBorder="1" applyAlignment="1" applyProtection="1">
      <alignment horizontal="right" vertical="center" wrapText="1"/>
      <protection locked="0"/>
    </xf>
    <xf numFmtId="3" fontId="1" fillId="3" borderId="12" xfId="0" applyNumberFormat="1" applyFont="1" applyFill="1" applyBorder="1" applyAlignment="1" applyProtection="1">
      <alignment horizontal="right" vertical="center" wrapText="1"/>
      <protection locked="0"/>
    </xf>
    <xf numFmtId="164" fontId="1" fillId="8" borderId="12" xfId="0" applyNumberFormat="1" applyFont="1" applyFill="1" applyBorder="1" applyAlignment="1" applyProtection="1">
      <alignment horizontal="center" vertical="center" wrapText="1"/>
      <protection locked="0"/>
    </xf>
    <xf numFmtId="39" fontId="1" fillId="8" borderId="12" xfId="0" applyNumberFormat="1" applyFont="1" applyFill="1" applyBorder="1" applyAlignment="1" applyProtection="1">
      <alignment horizontal="right" vertical="center" wrapText="1"/>
      <protection locked="0"/>
    </xf>
    <xf numFmtId="1" fontId="1" fillId="3" borderId="12" xfId="0" applyNumberFormat="1" applyFont="1" applyFill="1" applyBorder="1" applyAlignment="1" applyProtection="1">
      <alignment horizontal="right" vertical="center" wrapText="1"/>
      <protection locked="0"/>
    </xf>
    <xf numFmtId="37" fontId="1" fillId="3" borderId="12" xfId="0" applyNumberFormat="1" applyFont="1" applyFill="1" applyBorder="1" applyAlignment="1" applyProtection="1">
      <alignment horizontal="center" vertical="center" wrapText="1"/>
      <protection locked="0"/>
    </xf>
    <xf numFmtId="39" fontId="1" fillId="3" borderId="12" xfId="0" applyNumberFormat="1" applyFont="1" applyFill="1" applyBorder="1" applyAlignment="1" applyProtection="1">
      <alignment horizontal="center" vertical="center" wrapText="1"/>
      <protection locked="0"/>
    </xf>
    <xf numFmtId="39" fontId="1" fillId="3" borderId="12" xfId="0" applyNumberFormat="1" applyFont="1" applyFill="1" applyBorder="1" applyAlignment="1" applyProtection="1">
      <alignment horizontal="right" vertical="center" wrapText="1"/>
      <protection locked="0"/>
    </xf>
    <xf numFmtId="39" fontId="1" fillId="3" borderId="18" xfId="0" applyNumberFormat="1" applyFont="1" applyFill="1" applyBorder="1" applyAlignment="1" applyProtection="1">
      <alignment horizontal="right" vertical="center" wrapText="1"/>
      <protection locked="0"/>
    </xf>
    <xf numFmtId="39" fontId="1" fillId="3" borderId="12" xfId="0" applyNumberFormat="1" applyFont="1" applyFill="1" applyBorder="1" applyAlignment="1" applyProtection="1">
      <alignment vertical="center" wrapText="1"/>
      <protection locked="0"/>
    </xf>
    <xf numFmtId="14" fontId="2" fillId="3" borderId="5" xfId="0" applyNumberFormat="1" applyFont="1" applyFill="1" applyBorder="1" applyProtection="1">
      <protection locked="0"/>
    </xf>
    <xf numFmtId="0" fontId="1" fillId="4" borderId="2" xfId="0" applyFont="1" applyFill="1" applyBorder="1" applyAlignment="1">
      <alignment horizontal="left" vertical="center" wrapText="1"/>
    </xf>
    <xf numFmtId="0" fontId="3" fillId="0" borderId="4" xfId="0" applyFont="1" applyBorder="1"/>
    <xf numFmtId="0" fontId="7" fillId="5" borderId="2" xfId="0" applyFont="1" applyFill="1" applyBorder="1" applyAlignment="1">
      <alignment horizontal="left" vertical="center"/>
    </xf>
    <xf numFmtId="0" fontId="3" fillId="0" borderId="3" xfId="0" applyFont="1" applyBorder="1"/>
    <xf numFmtId="0" fontId="7" fillId="5" borderId="2" xfId="0" applyFont="1" applyFill="1" applyBorder="1" applyAlignment="1">
      <alignment horizontal="left" vertical="center" wrapText="1"/>
    </xf>
    <xf numFmtId="0" fontId="1" fillId="6" borderId="2" xfId="0" applyFont="1" applyFill="1" applyBorder="1" applyAlignment="1">
      <alignment horizontal="left" vertical="center" wrapText="1"/>
    </xf>
    <xf numFmtId="0" fontId="1" fillId="4" borderId="2" xfId="0" applyFont="1" applyFill="1" applyBorder="1" applyAlignment="1">
      <alignment horizontal="left" vertical="center"/>
    </xf>
    <xf numFmtId="0" fontId="1" fillId="6" borderId="2" xfId="0" applyFont="1" applyFill="1" applyBorder="1" applyAlignment="1">
      <alignment horizontal="left" vertical="center"/>
    </xf>
    <xf numFmtId="39" fontId="1" fillId="6" borderId="2" xfId="0" applyNumberFormat="1" applyFont="1" applyFill="1" applyBorder="1" applyAlignment="1">
      <alignment horizontal="left" vertical="center" wrapText="1"/>
    </xf>
    <xf numFmtId="39" fontId="1" fillId="4" borderId="2" xfId="0" applyNumberFormat="1" applyFont="1" applyFill="1" applyBorder="1" applyAlignment="1">
      <alignment horizontal="left" vertical="center" wrapText="1"/>
    </xf>
    <xf numFmtId="4" fontId="1" fillId="4" borderId="2" xfId="0" applyNumberFormat="1" applyFont="1" applyFill="1" applyBorder="1" applyAlignment="1">
      <alignment horizontal="left" vertical="center" wrapText="1"/>
    </xf>
    <xf numFmtId="0" fontId="16" fillId="4" borderId="2" xfId="0" applyFont="1" applyFill="1" applyBorder="1" applyAlignment="1">
      <alignment horizontal="left" vertical="center" wrapText="1"/>
    </xf>
    <xf numFmtId="0" fontId="16" fillId="6" borderId="2" xfId="0" applyFont="1" applyFill="1" applyBorder="1" applyAlignment="1">
      <alignment horizontal="left" vertical="center" wrapText="1"/>
    </xf>
    <xf numFmtId="0" fontId="2" fillId="6" borderId="2" xfId="0" applyFont="1" applyFill="1" applyBorder="1" applyAlignment="1">
      <alignment horizontal="left"/>
    </xf>
    <xf numFmtId="0" fontId="2" fillId="4" borderId="2" xfId="0" applyFont="1" applyFill="1" applyBorder="1" applyAlignment="1">
      <alignment horizontal="left"/>
    </xf>
    <xf numFmtId="0" fontId="6" fillId="2" borderId="6" xfId="0" applyFont="1" applyFill="1" applyBorder="1" applyAlignment="1">
      <alignment horizontal="center"/>
    </xf>
    <xf numFmtId="0" fontId="3" fillId="0" borderId="7" xfId="0" applyFont="1" applyBorder="1"/>
    <xf numFmtId="0" fontId="3" fillId="0" borderId="8" xfId="0" applyFont="1" applyBorder="1"/>
    <xf numFmtId="0" fontId="7" fillId="5" borderId="9" xfId="0" applyFont="1" applyFill="1" applyBorder="1" applyAlignment="1">
      <alignment horizontal="left"/>
    </xf>
    <xf numFmtId="0" fontId="3" fillId="0" borderId="10" xfId="0" applyFont="1" applyBorder="1"/>
    <xf numFmtId="0" fontId="3" fillId="0" borderId="11" xfId="0" applyFont="1" applyBorder="1"/>
    <xf numFmtId="0" fontId="1" fillId="6" borderId="2" xfId="0" applyFont="1" applyFill="1" applyBorder="1" applyAlignment="1">
      <alignment horizontal="left"/>
    </xf>
    <xf numFmtId="0" fontId="1" fillId="6" borderId="2" xfId="0" applyFont="1" applyFill="1" applyBorder="1" applyAlignment="1">
      <alignment horizontal="center"/>
    </xf>
    <xf numFmtId="0" fontId="1" fillId="4" borderId="2" xfId="0" applyFont="1" applyFill="1" applyBorder="1" applyAlignment="1">
      <alignment horizontal="left"/>
    </xf>
    <xf numFmtId="0" fontId="1" fillId="4" borderId="2" xfId="0" applyFont="1" applyFill="1" applyBorder="1" applyAlignment="1">
      <alignment horizontal="right"/>
    </xf>
    <xf numFmtId="0" fontId="8" fillId="0" borderId="0" xfId="0" applyFont="1" applyAlignment="1">
      <alignment horizontal="center"/>
    </xf>
    <xf numFmtId="0" fontId="4" fillId="0" borderId="0" xfId="0" applyFont="1"/>
    <xf numFmtId="0" fontId="1" fillId="4" borderId="2" xfId="0" applyFont="1" applyFill="1" applyBorder="1" applyAlignment="1">
      <alignment horizontal="center"/>
    </xf>
    <xf numFmtId="0" fontId="10" fillId="2" borderId="22" xfId="0" applyFont="1" applyFill="1" applyBorder="1" applyAlignment="1">
      <alignment horizontal="center" vertical="center"/>
    </xf>
    <xf numFmtId="0" fontId="3" fillId="0" borderId="23" xfId="0" applyFont="1" applyBorder="1"/>
    <xf numFmtId="0" fontId="11" fillId="2" borderId="6" xfId="0" applyFont="1" applyFill="1" applyBorder="1" applyAlignment="1">
      <alignment horizontal="left" vertical="center" wrapText="1"/>
    </xf>
    <xf numFmtId="0" fontId="1" fillId="6" borderId="19" xfId="0" applyFont="1" applyFill="1" applyBorder="1" applyAlignment="1">
      <alignment horizontal="left" vertical="center" wrapText="1"/>
    </xf>
    <xf numFmtId="0" fontId="3" fillId="0" borderId="20" xfId="0" applyFont="1" applyBorder="1"/>
    <xf numFmtId="0" fontId="3" fillId="0" borderId="21" xfId="0" applyFont="1" applyBorder="1"/>
    <xf numFmtId="4" fontId="1" fillId="4" borderId="19" xfId="0" applyNumberFormat="1" applyFont="1" applyFill="1" applyBorder="1" applyAlignment="1">
      <alignment horizontal="left" vertical="center" wrapText="1"/>
    </xf>
    <xf numFmtId="0" fontId="7" fillId="5" borderId="19" xfId="0" applyFont="1" applyFill="1" applyBorder="1" applyAlignment="1">
      <alignment horizontal="left" vertical="center" wrapText="1"/>
    </xf>
    <xf numFmtId="0" fontId="11" fillId="2" borderId="6" xfId="0" applyFont="1" applyFill="1" applyBorder="1" applyAlignment="1">
      <alignment horizontal="left" wrapText="1"/>
    </xf>
    <xf numFmtId="0" fontId="1" fillId="4" borderId="19" xfId="0" applyFont="1" applyFill="1" applyBorder="1" applyAlignment="1">
      <alignment horizontal="left" vertical="center" wrapText="1"/>
    </xf>
    <xf numFmtId="0" fontId="1" fillId="2" borderId="6" xfId="0" applyFont="1" applyFill="1" applyBorder="1" applyAlignment="1">
      <alignment horizontal="left" vertical="center" wrapText="1"/>
    </xf>
    <xf numFmtId="39" fontId="1" fillId="3" borderId="2" xfId="0" applyNumberFormat="1" applyFont="1" applyFill="1" applyBorder="1" applyAlignment="1" applyProtection="1">
      <alignment horizontal="left" vertical="center" wrapText="1"/>
      <protection locked="0"/>
    </xf>
    <xf numFmtId="0" fontId="3" fillId="0" borderId="3" xfId="0" applyFont="1" applyBorder="1" applyProtection="1">
      <protection locked="0"/>
    </xf>
    <xf numFmtId="0" fontId="3" fillId="0" borderId="4" xfId="0" applyFont="1" applyBorder="1" applyProtection="1">
      <protection locked="0"/>
    </xf>
    <xf numFmtId="0" fontId="2" fillId="3" borderId="2" xfId="0" applyFont="1" applyFill="1" applyBorder="1" applyAlignment="1" applyProtection="1">
      <alignment horizontal="left"/>
      <protection locked="0"/>
    </xf>
    <xf numFmtId="0" fontId="1" fillId="3" borderId="2" xfId="0" applyFont="1" applyFill="1" applyBorder="1" applyAlignment="1" applyProtection="1">
      <alignment horizontal="center"/>
      <protection locked="0"/>
    </xf>
    <xf numFmtId="0" fontId="1" fillId="3" borderId="2" xfId="0" applyFont="1" applyFill="1" applyBorder="1" applyAlignment="1" applyProtection="1">
      <alignment horizontal="right"/>
      <protection locked="0"/>
    </xf>
    <xf numFmtId="49" fontId="1" fillId="3" borderId="2" xfId="0" applyNumberFormat="1" applyFont="1" applyFill="1" applyBorder="1" applyAlignment="1" applyProtection="1">
      <alignment horizontal="center"/>
      <protection locked="0"/>
    </xf>
    <xf numFmtId="0" fontId="1" fillId="3" borderId="2" xfId="0" applyFont="1" applyFill="1" applyBorder="1" applyAlignment="1" applyProtection="1">
      <alignment horizontal="left" vertical="center"/>
      <protection locked="0"/>
    </xf>
    <xf numFmtId="0" fontId="7" fillId="5" borderId="13" xfId="0" applyFont="1" applyFill="1" applyBorder="1" applyAlignment="1">
      <alignment horizontal="left"/>
    </xf>
    <xf numFmtId="0" fontId="3" fillId="0" borderId="14" xfId="0" applyFont="1" applyBorder="1"/>
    <xf numFmtId="0" fontId="3" fillId="0" borderId="15" xfId="0" applyFont="1" applyBorder="1"/>
    <xf numFmtId="0" fontId="7" fillId="5" borderId="17" xfId="0" applyFont="1" applyFill="1" applyBorder="1" applyAlignment="1">
      <alignment horizontal="left"/>
    </xf>
    <xf numFmtId="4" fontId="1" fillId="8" borderId="2" xfId="0" applyNumberFormat="1" applyFont="1" applyFill="1" applyBorder="1" applyAlignment="1" applyProtection="1">
      <alignment horizontal="left" vertical="center" wrapText="1"/>
      <protection locked="0"/>
    </xf>
    <xf numFmtId="0" fontId="11" fillId="2" borderId="13" xfId="0" applyFont="1" applyFill="1" applyBorder="1" applyAlignment="1">
      <alignment horizontal="left" vertical="center" wrapText="1"/>
    </xf>
    <xf numFmtId="0" fontId="1" fillId="6" borderId="2" xfId="0" applyFont="1" applyFill="1" applyBorder="1" applyAlignment="1">
      <alignment horizontal="left" wrapText="1"/>
    </xf>
  </cellXfs>
  <cellStyles count="1">
    <cellStyle name="Normal" xfId="0" builtinId="0"/>
  </cellStyles>
  <dxfs count="2">
    <dxf>
      <font>
        <b/>
        <color rgb="FFC00000"/>
      </font>
      <fill>
        <patternFill patternType="none"/>
      </fill>
    </dxf>
    <dxf>
      <font>
        <b/>
        <color rgb="FFC00000"/>
      </font>
      <fill>
        <patternFill patternType="none"/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comments1.xml.rels><?xml version="1.0" encoding="UTF-8" standalone="yes"?>
<Relationships xmlns="http://schemas.openxmlformats.org/package/2006/relationships"><Relationship Id="rId1" Type="http://customschemas.google.com/relationships/workbookmetadata" Target="commentsmeta0"/></Relationships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customschemas.google.com/relationships/workbookmetadata" Target="metadata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Z1000"/>
  <sheetViews>
    <sheetView topLeftCell="A54" workbookViewId="0">
      <selection activeCell="F73" sqref="F73"/>
    </sheetView>
  </sheetViews>
  <sheetFormatPr defaultColWidth="12.5546875" defaultRowHeight="15" customHeight="1" x14ac:dyDescent="0.35"/>
  <cols>
    <col min="1" max="1" width="2.6640625" style="2" customWidth="1"/>
    <col min="2" max="2" width="8.88671875" style="2" customWidth="1"/>
    <col min="3" max="3" width="52.5546875" style="2" customWidth="1"/>
    <col min="4" max="4" width="9.5546875" style="2" customWidth="1"/>
    <col min="5" max="5" width="15.44140625" style="2" customWidth="1"/>
    <col min="6" max="6" width="16.5546875" style="2" customWidth="1"/>
    <col min="7" max="26" width="9.109375" style="2" customWidth="1"/>
    <col min="27" max="16384" width="12.5546875" style="2"/>
  </cols>
  <sheetData>
    <row r="1" spans="1:26" ht="16.5" customHeight="1" x14ac:dyDescent="0.45">
      <c r="A1" s="1"/>
      <c r="B1" s="148" t="s">
        <v>198</v>
      </c>
      <c r="C1" s="146"/>
      <c r="D1" s="146"/>
      <c r="E1" s="146"/>
      <c r="F1" s="147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ht="16.5" customHeight="1" x14ac:dyDescent="0.45">
      <c r="A2" s="1"/>
      <c r="B2" s="148" t="s">
        <v>199</v>
      </c>
      <c r="C2" s="146"/>
      <c r="D2" s="147"/>
      <c r="E2" s="77" t="s">
        <v>0</v>
      </c>
      <c r="F2" s="105">
        <v>46037</v>
      </c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ht="16.5" customHeight="1" x14ac:dyDescent="0.4">
      <c r="A3" s="1"/>
      <c r="B3" s="5"/>
      <c r="C3" s="5"/>
      <c r="D3" s="5"/>
      <c r="E3" s="5"/>
      <c r="F3" s="5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ht="24.6" x14ac:dyDescent="0.55000000000000004">
      <c r="A4" s="5"/>
      <c r="B4" s="121" t="s">
        <v>2</v>
      </c>
      <c r="C4" s="122"/>
      <c r="D4" s="122"/>
      <c r="E4" s="122"/>
      <c r="F4" s="123"/>
      <c r="G4" s="5"/>
      <c r="H4" s="5"/>
      <c r="I4" s="5"/>
      <c r="J4" s="5"/>
      <c r="K4" s="5"/>
      <c r="L4" s="5"/>
      <c r="M4" s="5"/>
      <c r="N4" s="5"/>
      <c r="O4" s="5"/>
      <c r="P4" s="5"/>
      <c r="Q4" s="5"/>
      <c r="R4" s="5"/>
      <c r="S4" s="5"/>
      <c r="T4" s="5"/>
      <c r="U4" s="5"/>
      <c r="V4" s="5"/>
      <c r="W4" s="5"/>
      <c r="X4" s="5"/>
      <c r="Y4" s="5"/>
      <c r="Z4" s="5"/>
    </row>
    <row r="5" spans="1:26" ht="15.75" customHeight="1" x14ac:dyDescent="0.4">
      <c r="A5" s="5"/>
      <c r="B5" s="124" t="s">
        <v>3</v>
      </c>
      <c r="C5" s="125"/>
      <c r="D5" s="125"/>
      <c r="E5" s="125"/>
      <c r="F5" s="126"/>
      <c r="G5" s="5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5"/>
    </row>
    <row r="6" spans="1:26" ht="15.75" customHeight="1" x14ac:dyDescent="0.4">
      <c r="A6" s="5"/>
      <c r="B6" s="127" t="s">
        <v>4</v>
      </c>
      <c r="C6" s="107"/>
      <c r="D6" s="149" t="s">
        <v>200</v>
      </c>
      <c r="E6" s="146"/>
      <c r="F6" s="147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</row>
    <row r="7" spans="1:26" ht="15.75" customHeight="1" x14ac:dyDescent="0.4">
      <c r="A7" s="5"/>
      <c r="B7" s="129" t="s">
        <v>5</v>
      </c>
      <c r="C7" s="107"/>
      <c r="D7" s="150" t="s">
        <v>6</v>
      </c>
      <c r="E7" s="147"/>
      <c r="F7" s="87" t="s">
        <v>7</v>
      </c>
      <c r="G7" s="5"/>
      <c r="H7" s="5"/>
      <c r="I7" s="5"/>
      <c r="J7" s="5"/>
      <c r="K7" s="5"/>
      <c r="L7" s="5"/>
      <c r="M7" s="5"/>
      <c r="N7" s="5"/>
      <c r="O7" s="5"/>
      <c r="P7" s="5"/>
      <c r="Q7" s="5"/>
      <c r="R7" s="5"/>
      <c r="S7" s="5"/>
      <c r="T7" s="5"/>
      <c r="U7" s="5"/>
      <c r="V7" s="5"/>
      <c r="W7" s="5"/>
      <c r="X7" s="5"/>
      <c r="Y7" s="5"/>
      <c r="Z7" s="5"/>
    </row>
    <row r="8" spans="1:26" ht="15.75" customHeight="1" x14ac:dyDescent="0.4">
      <c r="A8" s="5"/>
      <c r="B8" s="127" t="s">
        <v>8</v>
      </c>
      <c r="C8" s="107"/>
      <c r="D8" s="151" t="s">
        <v>1</v>
      </c>
      <c r="E8" s="147"/>
      <c r="F8" s="87" t="s">
        <v>9</v>
      </c>
      <c r="G8" s="5"/>
      <c r="H8" s="5"/>
      <c r="I8" s="5"/>
      <c r="J8" s="5"/>
      <c r="K8" s="5"/>
      <c r="L8" s="5"/>
      <c r="M8" s="5"/>
      <c r="N8" s="5"/>
      <c r="O8" s="5"/>
      <c r="P8" s="5"/>
      <c r="Q8" s="5"/>
      <c r="R8" s="5"/>
      <c r="S8" s="5"/>
      <c r="T8" s="5"/>
      <c r="U8" s="5"/>
      <c r="V8" s="5"/>
      <c r="W8" s="5"/>
      <c r="X8" s="5"/>
      <c r="Y8" s="5"/>
      <c r="Z8" s="5"/>
    </row>
    <row r="9" spans="1:26" ht="9.75" customHeight="1" x14ac:dyDescent="0.4">
      <c r="A9" s="5"/>
      <c r="B9" s="5"/>
      <c r="C9" s="78"/>
      <c r="D9" s="79"/>
      <c r="E9" s="79"/>
      <c r="F9" s="80"/>
      <c r="G9" s="5"/>
      <c r="H9" s="5"/>
      <c r="I9" s="5"/>
      <c r="J9" s="5"/>
      <c r="K9" s="5"/>
      <c r="L9" s="5"/>
      <c r="M9" s="5"/>
      <c r="N9" s="5"/>
      <c r="O9" s="5"/>
      <c r="P9" s="5"/>
      <c r="Q9" s="5"/>
      <c r="R9" s="5"/>
      <c r="S9" s="5"/>
      <c r="T9" s="5"/>
      <c r="U9" s="5"/>
      <c r="V9" s="5"/>
      <c r="W9" s="5"/>
      <c r="X9" s="5"/>
      <c r="Y9" s="5"/>
      <c r="Z9" s="5"/>
    </row>
    <row r="10" spans="1:26" ht="15.75" customHeight="1" x14ac:dyDescent="0.4">
      <c r="A10" s="5"/>
      <c r="B10" s="124" t="s">
        <v>10</v>
      </c>
      <c r="C10" s="125"/>
      <c r="D10" s="125"/>
      <c r="E10" s="125"/>
      <c r="F10" s="126"/>
      <c r="G10" s="5"/>
      <c r="H10" s="5"/>
      <c r="I10" s="5"/>
      <c r="J10" s="5"/>
      <c r="K10" s="5"/>
      <c r="L10" s="5"/>
      <c r="M10" s="5"/>
      <c r="N10" s="5"/>
      <c r="O10" s="5"/>
      <c r="P10" s="5"/>
      <c r="Q10" s="5"/>
      <c r="R10" s="5"/>
      <c r="S10" s="5"/>
      <c r="T10" s="5"/>
      <c r="U10" s="5"/>
      <c r="V10" s="5"/>
      <c r="W10" s="5"/>
      <c r="X10" s="5"/>
      <c r="Y10" s="5"/>
      <c r="Z10" s="5"/>
    </row>
    <row r="11" spans="1:26" ht="18" customHeight="1" x14ac:dyDescent="0.4">
      <c r="A11" s="5"/>
      <c r="B11" s="7" t="s">
        <v>11</v>
      </c>
      <c r="C11" s="127" t="s">
        <v>12</v>
      </c>
      <c r="D11" s="109"/>
      <c r="E11" s="107"/>
      <c r="F11" s="88" t="s">
        <v>1</v>
      </c>
      <c r="G11" s="5"/>
      <c r="H11" s="5"/>
      <c r="I11" s="5"/>
      <c r="J11" s="5"/>
      <c r="K11" s="5"/>
      <c r="L11" s="5"/>
      <c r="M11" s="5"/>
      <c r="N11" s="5"/>
      <c r="O11" s="5"/>
      <c r="P11" s="5"/>
      <c r="Q11" s="5"/>
      <c r="R11" s="5"/>
      <c r="S11" s="5"/>
      <c r="T11" s="5"/>
      <c r="U11" s="5"/>
      <c r="V11" s="5"/>
      <c r="W11" s="5"/>
      <c r="X11" s="5"/>
      <c r="Y11" s="5"/>
      <c r="Z11" s="5"/>
    </row>
    <row r="12" spans="1:26" ht="15.75" customHeight="1" x14ac:dyDescent="0.35">
      <c r="A12" s="5"/>
      <c r="B12" s="9" t="s">
        <v>13</v>
      </c>
      <c r="C12" s="10" t="s">
        <v>14</v>
      </c>
      <c r="D12" s="152" t="s">
        <v>201</v>
      </c>
      <c r="E12" s="146"/>
      <c r="F12" s="147"/>
      <c r="G12" s="5"/>
      <c r="H12" s="5"/>
      <c r="I12" s="5"/>
      <c r="J12" s="5"/>
      <c r="K12" s="5"/>
      <c r="L12" s="5"/>
      <c r="M12" s="5"/>
      <c r="N12" s="5"/>
      <c r="O12" s="5"/>
      <c r="P12" s="5"/>
      <c r="Q12" s="5"/>
      <c r="R12" s="5"/>
      <c r="S12" s="5"/>
      <c r="T12" s="5"/>
      <c r="U12" s="5"/>
      <c r="V12" s="5"/>
      <c r="W12" s="5"/>
      <c r="X12" s="5"/>
      <c r="Y12" s="5"/>
      <c r="Z12" s="5"/>
    </row>
    <row r="13" spans="1:26" ht="15.75" customHeight="1" x14ac:dyDescent="0.4">
      <c r="A13" s="5"/>
      <c r="B13" s="7" t="s">
        <v>15</v>
      </c>
      <c r="C13" s="127" t="s">
        <v>16</v>
      </c>
      <c r="D13" s="109"/>
      <c r="E13" s="107"/>
      <c r="F13" s="89" t="s">
        <v>202</v>
      </c>
      <c r="G13" s="5"/>
      <c r="H13" s="5"/>
      <c r="I13" s="5"/>
      <c r="J13" s="5"/>
      <c r="K13" s="5"/>
      <c r="L13" s="5"/>
      <c r="M13" s="5"/>
      <c r="N13" s="5"/>
      <c r="O13" s="5"/>
      <c r="P13" s="5"/>
      <c r="Q13" s="5"/>
      <c r="R13" s="5"/>
      <c r="S13" s="5"/>
      <c r="T13" s="5"/>
      <c r="U13" s="5"/>
      <c r="V13" s="5"/>
      <c r="W13" s="5"/>
      <c r="X13" s="5"/>
      <c r="Y13" s="5"/>
      <c r="Z13" s="5"/>
    </row>
    <row r="14" spans="1:26" ht="18.75" customHeight="1" x14ac:dyDescent="0.4">
      <c r="A14" s="5"/>
      <c r="B14" s="9" t="s">
        <v>17</v>
      </c>
      <c r="C14" s="106" t="s">
        <v>18</v>
      </c>
      <c r="D14" s="109"/>
      <c r="E14" s="107"/>
      <c r="F14" s="87" t="s">
        <v>203</v>
      </c>
      <c r="G14" s="5"/>
      <c r="H14" s="5"/>
      <c r="I14" s="5"/>
      <c r="J14" s="5"/>
      <c r="K14" s="5"/>
      <c r="L14" s="5"/>
      <c r="M14" s="5"/>
      <c r="N14" s="5"/>
      <c r="O14" s="5"/>
      <c r="P14" s="5"/>
      <c r="Q14" s="5"/>
      <c r="R14" s="5"/>
      <c r="S14" s="5"/>
      <c r="T14" s="5"/>
      <c r="U14" s="5"/>
      <c r="V14" s="5"/>
      <c r="W14" s="5"/>
      <c r="X14" s="5"/>
      <c r="Y14" s="5"/>
      <c r="Z14" s="5"/>
    </row>
    <row r="15" spans="1:26" ht="15.75" customHeight="1" x14ac:dyDescent="0.4">
      <c r="A15" s="5"/>
      <c r="B15" s="9" t="s">
        <v>19</v>
      </c>
      <c r="C15" s="127" t="s">
        <v>20</v>
      </c>
      <c r="D15" s="109"/>
      <c r="E15" s="107"/>
      <c r="F15" s="13">
        <v>12</v>
      </c>
      <c r="G15" s="5"/>
      <c r="H15" s="5"/>
      <c r="I15" s="5"/>
      <c r="J15" s="5"/>
      <c r="K15" s="5"/>
      <c r="L15" s="5"/>
      <c r="M15" s="5"/>
      <c r="N15" s="5"/>
      <c r="O15" s="5"/>
      <c r="P15" s="5"/>
      <c r="Q15" s="5"/>
      <c r="R15" s="5"/>
      <c r="S15" s="5"/>
      <c r="T15" s="5"/>
      <c r="U15" s="5"/>
      <c r="V15" s="5"/>
      <c r="W15" s="5"/>
      <c r="X15" s="5"/>
      <c r="Y15" s="5"/>
      <c r="Z15" s="5"/>
    </row>
    <row r="16" spans="1:26" ht="15.75" customHeight="1" x14ac:dyDescent="0.4">
      <c r="A16" s="5"/>
      <c r="B16" s="5"/>
      <c r="C16" s="78"/>
      <c r="D16" s="79"/>
      <c r="E16" s="79"/>
      <c r="F16" s="80"/>
      <c r="G16" s="5"/>
      <c r="H16" s="5"/>
      <c r="I16" s="5"/>
      <c r="J16" s="5"/>
      <c r="K16" s="5"/>
      <c r="L16" s="5"/>
      <c r="M16" s="5"/>
      <c r="N16" s="5"/>
      <c r="O16" s="5"/>
      <c r="P16" s="5"/>
      <c r="Q16" s="5"/>
      <c r="R16" s="5"/>
      <c r="S16" s="5"/>
      <c r="T16" s="5"/>
      <c r="U16" s="5"/>
      <c r="V16" s="5"/>
      <c r="W16" s="5"/>
      <c r="X16" s="5"/>
      <c r="Y16" s="5"/>
      <c r="Z16" s="5"/>
    </row>
    <row r="17" spans="1:26" ht="16.5" customHeight="1" x14ac:dyDescent="0.4">
      <c r="A17" s="5"/>
      <c r="B17" s="124" t="s">
        <v>21</v>
      </c>
      <c r="C17" s="125"/>
      <c r="D17" s="125"/>
      <c r="E17" s="125"/>
      <c r="F17" s="126"/>
      <c r="G17" s="5"/>
      <c r="H17" s="5"/>
      <c r="I17" s="5"/>
      <c r="J17" s="5"/>
      <c r="K17" s="5"/>
      <c r="L17" s="5"/>
      <c r="M17" s="5"/>
      <c r="N17" s="5"/>
      <c r="O17" s="5"/>
      <c r="P17" s="5"/>
      <c r="Q17" s="5"/>
      <c r="R17" s="5"/>
      <c r="S17" s="5"/>
      <c r="T17" s="5"/>
      <c r="U17" s="5"/>
      <c r="V17" s="5"/>
      <c r="W17" s="5"/>
      <c r="X17" s="5"/>
      <c r="Y17" s="5"/>
      <c r="Z17" s="5"/>
    </row>
    <row r="18" spans="1:26" ht="16.5" customHeight="1" x14ac:dyDescent="0.35">
      <c r="A18" s="81"/>
      <c r="B18" s="82" t="s">
        <v>22</v>
      </c>
      <c r="C18" s="82" t="s">
        <v>23</v>
      </c>
      <c r="D18" s="83" t="s">
        <v>24</v>
      </c>
      <c r="E18" s="83" t="s">
        <v>25</v>
      </c>
      <c r="F18" s="83" t="s">
        <v>26</v>
      </c>
      <c r="G18" s="81"/>
      <c r="H18" s="81"/>
      <c r="I18" s="81"/>
      <c r="J18" s="81"/>
      <c r="K18" s="81"/>
      <c r="L18" s="81"/>
      <c r="M18" s="81"/>
      <c r="N18" s="81"/>
      <c r="O18" s="81"/>
      <c r="P18" s="81"/>
      <c r="Q18" s="81"/>
      <c r="R18" s="81"/>
      <c r="S18" s="81"/>
      <c r="T18" s="81"/>
      <c r="U18" s="81"/>
      <c r="V18" s="81"/>
      <c r="W18" s="81"/>
      <c r="X18" s="81"/>
      <c r="Y18" s="81"/>
      <c r="Z18" s="81"/>
    </row>
    <row r="19" spans="1:26" ht="16.5" customHeight="1" x14ac:dyDescent="0.4">
      <c r="A19" s="5"/>
      <c r="B19" s="7">
        <v>1</v>
      </c>
      <c r="C19" s="90" t="s">
        <v>207</v>
      </c>
      <c r="D19" s="91" t="s">
        <v>204</v>
      </c>
      <c r="E19" s="92">
        <v>1</v>
      </c>
      <c r="F19" s="91">
        <v>1</v>
      </c>
      <c r="G19" s="5"/>
      <c r="H19" s="5"/>
      <c r="I19" s="5"/>
      <c r="J19" s="5"/>
      <c r="K19" s="5"/>
      <c r="L19" s="5"/>
      <c r="M19" s="5"/>
      <c r="N19" s="5"/>
      <c r="O19" s="5"/>
      <c r="P19" s="5"/>
      <c r="Q19" s="5"/>
      <c r="R19" s="5"/>
      <c r="S19" s="5"/>
      <c r="T19" s="5"/>
      <c r="U19" s="5"/>
      <c r="V19" s="5"/>
      <c r="W19" s="5"/>
      <c r="X19" s="5"/>
      <c r="Y19" s="5"/>
      <c r="Z19" s="5"/>
    </row>
    <row r="20" spans="1:26" ht="15.75" customHeight="1" x14ac:dyDescent="0.4">
      <c r="A20" s="5"/>
      <c r="B20" s="153" t="s">
        <v>27</v>
      </c>
      <c r="C20" s="154"/>
      <c r="D20" s="154"/>
      <c r="E20" s="155"/>
      <c r="F20" s="93"/>
      <c r="G20" s="5"/>
      <c r="H20" s="5"/>
      <c r="I20" s="5"/>
      <c r="J20" s="5"/>
      <c r="K20" s="5"/>
      <c r="L20" s="5"/>
      <c r="M20" s="5"/>
      <c r="N20" s="5"/>
      <c r="O20" s="5"/>
      <c r="P20" s="5"/>
      <c r="Q20" s="5"/>
      <c r="R20" s="5"/>
      <c r="S20" s="5"/>
      <c r="T20" s="5"/>
      <c r="U20" s="5"/>
      <c r="V20" s="5"/>
      <c r="W20" s="5"/>
      <c r="X20" s="5"/>
      <c r="Y20" s="5"/>
      <c r="Z20" s="5"/>
    </row>
    <row r="21" spans="1:26" ht="15" customHeight="1" x14ac:dyDescent="0.4">
      <c r="A21" s="5"/>
      <c r="B21" s="41"/>
      <c r="C21" s="41"/>
      <c r="D21" s="41"/>
      <c r="E21" s="41"/>
      <c r="F21" s="41"/>
      <c r="G21" s="5"/>
      <c r="H21" s="5"/>
      <c r="I21" s="5"/>
      <c r="J21" s="5"/>
      <c r="K21" s="5"/>
      <c r="L21" s="5"/>
      <c r="M21" s="5"/>
      <c r="N21" s="5"/>
      <c r="O21" s="5"/>
      <c r="P21" s="5"/>
      <c r="Q21" s="5"/>
      <c r="R21" s="5"/>
      <c r="S21" s="5"/>
      <c r="T21" s="5"/>
      <c r="U21" s="5"/>
      <c r="V21" s="5"/>
      <c r="W21" s="5"/>
      <c r="X21" s="5"/>
      <c r="Y21" s="5"/>
      <c r="Z21" s="5"/>
    </row>
    <row r="22" spans="1:26" ht="15" customHeight="1" x14ac:dyDescent="0.4">
      <c r="A22" s="5"/>
      <c r="B22" s="124" t="s">
        <v>28</v>
      </c>
      <c r="C22" s="125"/>
      <c r="D22" s="125"/>
      <c r="E22" s="125"/>
      <c r="F22" s="126"/>
      <c r="G22" s="5"/>
      <c r="H22" s="5"/>
      <c r="I22" s="5"/>
      <c r="J22" s="5"/>
      <c r="K22" s="5"/>
      <c r="L22" s="5"/>
      <c r="M22" s="5"/>
      <c r="N22" s="5"/>
      <c r="O22" s="5"/>
      <c r="P22" s="5"/>
      <c r="Q22" s="5"/>
      <c r="R22" s="5"/>
      <c r="S22" s="5"/>
      <c r="T22" s="5"/>
      <c r="U22" s="5"/>
      <c r="V22" s="5"/>
      <c r="W22" s="5"/>
      <c r="X22" s="5"/>
      <c r="Y22" s="5"/>
      <c r="Z22" s="5"/>
    </row>
    <row r="23" spans="1:26" ht="15.75" customHeight="1" x14ac:dyDescent="0.4">
      <c r="A23" s="5"/>
      <c r="B23" s="7">
        <v>1</v>
      </c>
      <c r="C23" s="18" t="s">
        <v>29</v>
      </c>
      <c r="D23" s="149" t="s">
        <v>208</v>
      </c>
      <c r="E23" s="146"/>
      <c r="F23" s="147"/>
      <c r="G23" s="5"/>
      <c r="H23" s="5"/>
      <c r="I23" s="5"/>
      <c r="J23" s="5"/>
      <c r="K23" s="5"/>
      <c r="L23" s="5"/>
      <c r="M23" s="5"/>
      <c r="N23" s="5"/>
      <c r="O23" s="5"/>
      <c r="P23" s="5"/>
      <c r="Q23" s="5"/>
      <c r="R23" s="5"/>
      <c r="S23" s="5"/>
      <c r="T23" s="5"/>
      <c r="U23" s="5"/>
      <c r="V23" s="5"/>
      <c r="W23" s="5"/>
      <c r="X23" s="5"/>
      <c r="Y23" s="5"/>
      <c r="Z23" s="5"/>
    </row>
    <row r="24" spans="1:26" ht="15.75" customHeight="1" x14ac:dyDescent="0.4">
      <c r="A24" s="5"/>
      <c r="B24" s="7">
        <v>2</v>
      </c>
      <c r="C24" s="17" t="s">
        <v>30</v>
      </c>
      <c r="D24" s="149"/>
      <c r="E24" s="146"/>
      <c r="F24" s="147"/>
      <c r="G24" s="5"/>
      <c r="H24" s="5"/>
      <c r="I24" s="5"/>
      <c r="J24" s="5"/>
      <c r="K24" s="5"/>
      <c r="L24" s="5"/>
      <c r="M24" s="5"/>
      <c r="N24" s="5"/>
      <c r="O24" s="5"/>
      <c r="P24" s="5"/>
      <c r="Q24" s="5"/>
      <c r="R24" s="5"/>
      <c r="S24" s="5"/>
      <c r="T24" s="5"/>
      <c r="U24" s="5"/>
      <c r="V24" s="5"/>
      <c r="W24" s="5"/>
      <c r="X24" s="5"/>
      <c r="Y24" s="5"/>
      <c r="Z24" s="5"/>
    </row>
    <row r="25" spans="1:26" ht="15.75" customHeight="1" x14ac:dyDescent="0.4">
      <c r="A25" s="5"/>
      <c r="B25" s="7">
        <v>3</v>
      </c>
      <c r="C25" s="127" t="s">
        <v>31</v>
      </c>
      <c r="D25" s="109"/>
      <c r="E25" s="107"/>
      <c r="F25" s="88">
        <v>46023</v>
      </c>
      <c r="G25" s="5"/>
      <c r="H25" s="5"/>
      <c r="I25" s="5"/>
      <c r="J25" s="5"/>
      <c r="K25" s="5"/>
      <c r="L25" s="5"/>
      <c r="M25" s="5"/>
      <c r="N25" s="5"/>
      <c r="O25" s="5"/>
      <c r="P25" s="5"/>
      <c r="Q25" s="5"/>
      <c r="R25" s="5"/>
      <c r="S25" s="5"/>
      <c r="T25" s="5"/>
      <c r="U25" s="5"/>
      <c r="V25" s="5"/>
      <c r="W25" s="5"/>
      <c r="X25" s="5"/>
      <c r="Y25" s="5"/>
      <c r="Z25" s="5"/>
    </row>
    <row r="26" spans="1:26" ht="16.5" customHeight="1" x14ac:dyDescent="0.4">
      <c r="A26" s="5"/>
      <c r="B26" s="7">
        <v>4</v>
      </c>
      <c r="C26" s="129" t="s">
        <v>32</v>
      </c>
      <c r="D26" s="109"/>
      <c r="E26" s="107"/>
      <c r="F26" s="94">
        <v>1621</v>
      </c>
      <c r="G26" s="5"/>
      <c r="H26" s="5"/>
      <c r="I26" s="5"/>
      <c r="J26" s="5"/>
      <c r="K26" s="5"/>
      <c r="L26" s="5"/>
      <c r="M26" s="5"/>
      <c r="N26" s="5"/>
      <c r="O26" s="5"/>
      <c r="P26" s="5"/>
      <c r="Q26" s="5"/>
      <c r="R26" s="5"/>
      <c r="S26" s="5"/>
      <c r="T26" s="5"/>
      <c r="U26" s="5"/>
      <c r="V26" s="5"/>
      <c r="W26" s="5"/>
      <c r="X26" s="5"/>
      <c r="Y26" s="5"/>
      <c r="Z26" s="5"/>
    </row>
    <row r="27" spans="1:26" ht="16.5" customHeight="1" x14ac:dyDescent="0.4">
      <c r="A27" s="5"/>
      <c r="B27" s="84"/>
      <c r="C27" s="85"/>
      <c r="D27" s="85"/>
      <c r="E27" s="85"/>
      <c r="F27" s="86"/>
      <c r="G27" s="5"/>
      <c r="H27" s="5"/>
      <c r="I27" s="5"/>
      <c r="J27" s="5"/>
      <c r="K27" s="5"/>
      <c r="L27" s="5"/>
      <c r="M27" s="5"/>
      <c r="N27" s="5"/>
      <c r="O27" s="5"/>
      <c r="P27" s="5"/>
      <c r="Q27" s="5"/>
      <c r="R27" s="5"/>
      <c r="S27" s="5"/>
      <c r="T27" s="5"/>
      <c r="U27" s="5"/>
      <c r="V27" s="5"/>
      <c r="W27" s="5"/>
      <c r="X27" s="5"/>
      <c r="Y27" s="5"/>
      <c r="Z27" s="5"/>
    </row>
    <row r="28" spans="1:26" ht="16.5" customHeight="1" x14ac:dyDescent="0.55000000000000004">
      <c r="A28" s="1"/>
      <c r="B28" s="63" t="s">
        <v>33</v>
      </c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</row>
    <row r="29" spans="1:26" ht="16.5" customHeight="1" x14ac:dyDescent="0.4">
      <c r="A29" s="1"/>
      <c r="B29" s="22" t="s">
        <v>34</v>
      </c>
      <c r="C29" s="1"/>
      <c r="D29" s="1"/>
      <c r="E29" s="23"/>
      <c r="F29" s="23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</row>
    <row r="30" spans="1:26" ht="16.5" customHeight="1" x14ac:dyDescent="0.4">
      <c r="A30" s="1"/>
      <c r="B30" s="9">
        <v>1</v>
      </c>
      <c r="C30" s="110" t="s">
        <v>35</v>
      </c>
      <c r="D30" s="109"/>
      <c r="E30" s="107"/>
      <c r="F30" s="24" t="s">
        <v>36</v>
      </c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</row>
    <row r="31" spans="1:26" ht="16.5" customHeight="1" x14ac:dyDescent="0.4">
      <c r="A31" s="1"/>
      <c r="B31" s="9" t="s">
        <v>11</v>
      </c>
      <c r="C31" s="114" t="s">
        <v>37</v>
      </c>
      <c r="D31" s="109"/>
      <c r="E31" s="107"/>
      <c r="F31" s="95">
        <v>2749.17</v>
      </c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</row>
    <row r="32" spans="1:26" ht="16.5" customHeight="1" x14ac:dyDescent="0.4">
      <c r="A32" s="1"/>
      <c r="B32" s="9" t="s">
        <v>13</v>
      </c>
      <c r="C32" s="106" t="s">
        <v>38</v>
      </c>
      <c r="D32" s="109"/>
      <c r="E32" s="107"/>
      <c r="F32" s="96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</row>
    <row r="33" spans="1:26" ht="16.5" customHeight="1" x14ac:dyDescent="0.4">
      <c r="A33" s="1"/>
      <c r="B33" s="9" t="s">
        <v>15</v>
      </c>
      <c r="C33" s="114" t="s">
        <v>39</v>
      </c>
      <c r="D33" s="109"/>
      <c r="E33" s="107"/>
      <c r="F33" s="96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</row>
    <row r="34" spans="1:26" ht="16.5" customHeight="1" x14ac:dyDescent="0.4">
      <c r="A34" s="1"/>
      <c r="B34" s="9" t="s">
        <v>17</v>
      </c>
      <c r="C34" s="115" t="s">
        <v>40</v>
      </c>
      <c r="D34" s="109"/>
      <c r="E34" s="107"/>
      <c r="F34" s="96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</row>
    <row r="35" spans="1:26" ht="16.5" customHeight="1" x14ac:dyDescent="0.4">
      <c r="A35" s="1"/>
      <c r="B35" s="9" t="s">
        <v>19</v>
      </c>
      <c r="C35" s="145" t="s">
        <v>41</v>
      </c>
      <c r="D35" s="146"/>
      <c r="E35" s="147"/>
      <c r="F35" s="95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</row>
    <row r="36" spans="1:26" ht="16.5" customHeight="1" x14ac:dyDescent="0.4">
      <c r="A36" s="1"/>
      <c r="B36" s="9" t="s">
        <v>42</v>
      </c>
      <c r="C36" s="145" t="s">
        <v>43</v>
      </c>
      <c r="D36" s="146"/>
      <c r="E36" s="147"/>
      <c r="F36" s="95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</row>
    <row r="37" spans="1:26" ht="16.5" customHeight="1" x14ac:dyDescent="0.4">
      <c r="A37" s="36"/>
      <c r="B37" s="9" t="s">
        <v>44</v>
      </c>
      <c r="C37" s="145" t="s">
        <v>45</v>
      </c>
      <c r="D37" s="146"/>
      <c r="E37" s="147"/>
      <c r="F37" s="95"/>
      <c r="G37" s="36"/>
      <c r="H37" s="36"/>
      <c r="I37" s="36"/>
      <c r="J37" s="36"/>
      <c r="K37" s="36"/>
      <c r="L37" s="36"/>
      <c r="M37" s="36"/>
      <c r="N37" s="36"/>
      <c r="O37" s="36"/>
      <c r="P37" s="36"/>
      <c r="Q37" s="36"/>
      <c r="R37" s="36"/>
      <c r="S37" s="36"/>
      <c r="T37" s="36"/>
      <c r="U37" s="36"/>
      <c r="V37" s="36"/>
      <c r="W37" s="36"/>
      <c r="X37" s="36"/>
      <c r="Y37" s="36"/>
      <c r="Z37" s="36"/>
    </row>
    <row r="38" spans="1:26" ht="9.75" customHeight="1" x14ac:dyDescent="0.4">
      <c r="A38" s="1"/>
      <c r="B38" s="36"/>
      <c r="C38" s="36"/>
      <c r="D38" s="36"/>
      <c r="E38" s="36"/>
      <c r="F38" s="36"/>
      <c r="G38" s="36"/>
      <c r="H38" s="36"/>
      <c r="I38" s="36"/>
      <c r="J38" s="36"/>
      <c r="K38" s="36"/>
      <c r="L38" s="36"/>
      <c r="M38" s="36"/>
      <c r="N38" s="36"/>
      <c r="O38" s="36"/>
      <c r="P38" s="36"/>
      <c r="Q38" s="36"/>
      <c r="R38" s="36"/>
      <c r="S38" s="36"/>
      <c r="T38" s="36"/>
      <c r="U38" s="36"/>
      <c r="V38" s="36"/>
      <c r="W38" s="36"/>
      <c r="X38" s="36"/>
      <c r="Y38" s="36"/>
      <c r="Z38" s="36"/>
    </row>
    <row r="39" spans="1:26" ht="16.5" customHeight="1" x14ac:dyDescent="0.4">
      <c r="A39" s="36"/>
      <c r="B39" s="22" t="s">
        <v>46</v>
      </c>
      <c r="C39" s="1"/>
      <c r="D39" s="1"/>
      <c r="E39" s="28"/>
      <c r="F39" s="28"/>
      <c r="G39" s="36"/>
      <c r="H39" s="36"/>
      <c r="I39" s="36"/>
      <c r="J39" s="36"/>
      <c r="K39" s="36"/>
      <c r="L39" s="36"/>
      <c r="M39" s="36"/>
      <c r="N39" s="36"/>
      <c r="O39" s="36"/>
      <c r="P39" s="36"/>
      <c r="Q39" s="36"/>
      <c r="R39" s="36"/>
      <c r="S39" s="36"/>
      <c r="T39" s="36"/>
      <c r="U39" s="36"/>
      <c r="V39" s="36"/>
      <c r="W39" s="36"/>
      <c r="X39" s="36"/>
      <c r="Y39" s="36"/>
      <c r="Z39" s="36"/>
    </row>
    <row r="40" spans="1:26" ht="6.75" customHeight="1" x14ac:dyDescent="0.4">
      <c r="A40" s="1"/>
      <c r="B40" s="36"/>
      <c r="C40" s="36"/>
      <c r="D40" s="36"/>
      <c r="E40" s="36"/>
      <c r="F40" s="36"/>
      <c r="G40" s="36"/>
      <c r="H40" s="36"/>
      <c r="I40" s="36"/>
      <c r="J40" s="36"/>
      <c r="K40" s="36"/>
      <c r="L40" s="36"/>
      <c r="M40" s="36"/>
      <c r="N40" s="36"/>
      <c r="O40" s="36"/>
      <c r="P40" s="36"/>
      <c r="Q40" s="36"/>
      <c r="R40" s="36"/>
      <c r="S40" s="36"/>
      <c r="T40" s="36"/>
      <c r="U40" s="36"/>
      <c r="V40" s="36"/>
      <c r="W40" s="36"/>
      <c r="X40" s="36"/>
      <c r="Y40" s="36"/>
      <c r="Z40" s="36"/>
    </row>
    <row r="41" spans="1:26" ht="15" customHeight="1" x14ac:dyDescent="0.4">
      <c r="A41" s="1"/>
      <c r="B41" s="22" t="s">
        <v>47</v>
      </c>
      <c r="C41" s="5"/>
      <c r="D41" s="5"/>
      <c r="E41" s="5"/>
      <c r="F41" s="5"/>
      <c r="G41" s="36"/>
      <c r="H41" s="36"/>
      <c r="I41" s="36"/>
      <c r="J41" s="36"/>
      <c r="K41" s="36"/>
      <c r="L41" s="36"/>
      <c r="M41" s="36"/>
      <c r="N41" s="36"/>
      <c r="O41" s="36"/>
      <c r="P41" s="36"/>
      <c r="Q41" s="36"/>
      <c r="R41" s="36"/>
      <c r="S41" s="36"/>
      <c r="T41" s="36"/>
      <c r="U41" s="36"/>
      <c r="V41" s="36"/>
      <c r="W41" s="36"/>
      <c r="X41" s="36"/>
      <c r="Y41" s="36"/>
      <c r="Z41" s="36"/>
    </row>
    <row r="42" spans="1:26" ht="16.5" customHeight="1" x14ac:dyDescent="0.4">
      <c r="A42" s="1"/>
      <c r="B42" s="9" t="s">
        <v>48</v>
      </c>
      <c r="C42" s="110" t="s">
        <v>49</v>
      </c>
      <c r="D42" s="109"/>
      <c r="E42" s="107"/>
      <c r="F42" s="24" t="s">
        <v>50</v>
      </c>
      <c r="G42" s="36"/>
      <c r="H42" s="36"/>
      <c r="I42" s="36"/>
      <c r="J42" s="36"/>
      <c r="K42" s="36"/>
      <c r="L42" s="36"/>
      <c r="M42" s="36"/>
      <c r="N42" s="36"/>
      <c r="O42" s="36"/>
      <c r="P42" s="36"/>
      <c r="Q42" s="36"/>
      <c r="R42" s="36"/>
      <c r="S42" s="36"/>
      <c r="T42" s="36"/>
      <c r="U42" s="36"/>
      <c r="V42" s="36"/>
      <c r="W42" s="36"/>
      <c r="X42" s="36"/>
      <c r="Y42" s="36"/>
      <c r="Z42" s="36"/>
    </row>
    <row r="43" spans="1:26" ht="16.5" customHeight="1" x14ac:dyDescent="0.4">
      <c r="A43" s="36"/>
      <c r="B43" s="66" t="s">
        <v>15</v>
      </c>
      <c r="C43" s="127" t="s">
        <v>51</v>
      </c>
      <c r="D43" s="109"/>
      <c r="E43" s="107"/>
      <c r="F43" s="97">
        <v>2</v>
      </c>
      <c r="G43" s="36"/>
      <c r="H43" s="36"/>
      <c r="I43" s="36"/>
      <c r="J43" s="36"/>
      <c r="K43" s="36"/>
      <c r="L43" s="36"/>
      <c r="M43" s="36"/>
      <c r="N43" s="36"/>
      <c r="O43" s="36"/>
      <c r="P43" s="36"/>
      <c r="Q43" s="36"/>
      <c r="R43" s="36"/>
      <c r="S43" s="36"/>
      <c r="T43" s="36"/>
      <c r="U43" s="36"/>
      <c r="V43" s="36"/>
      <c r="W43" s="36"/>
      <c r="X43" s="36"/>
      <c r="Y43" s="36"/>
      <c r="Z43" s="36"/>
    </row>
    <row r="44" spans="1:26" ht="16.5" customHeight="1" x14ac:dyDescent="0.4">
      <c r="A44" s="1"/>
      <c r="B44" s="36"/>
      <c r="C44" s="36"/>
      <c r="D44" s="36"/>
      <c r="E44" s="36"/>
      <c r="F44" s="36"/>
      <c r="G44" s="36"/>
      <c r="H44" s="36"/>
      <c r="I44" s="36"/>
      <c r="J44" s="36"/>
      <c r="K44" s="36"/>
      <c r="L44" s="36"/>
      <c r="M44" s="36"/>
      <c r="N44" s="36"/>
      <c r="O44" s="36"/>
      <c r="P44" s="36"/>
      <c r="Q44" s="36"/>
      <c r="R44" s="36"/>
      <c r="S44" s="36"/>
      <c r="T44" s="36"/>
      <c r="U44" s="36"/>
      <c r="V44" s="36"/>
      <c r="W44" s="36"/>
      <c r="X44" s="36"/>
      <c r="Y44" s="36"/>
      <c r="Z44" s="36"/>
    </row>
    <row r="45" spans="1:26" ht="15" customHeight="1" x14ac:dyDescent="0.4">
      <c r="A45" s="1"/>
      <c r="B45" s="22" t="s">
        <v>52</v>
      </c>
      <c r="C45" s="5"/>
      <c r="D45" s="5"/>
      <c r="E45" s="5"/>
      <c r="F45" s="5"/>
      <c r="G45" s="36"/>
      <c r="H45" s="36"/>
      <c r="I45" s="36"/>
      <c r="J45" s="36"/>
      <c r="K45" s="36"/>
      <c r="L45" s="36"/>
      <c r="M45" s="36"/>
      <c r="N45" s="36"/>
      <c r="O45" s="36"/>
      <c r="P45" s="36"/>
      <c r="Q45" s="36"/>
      <c r="R45" s="36"/>
      <c r="S45" s="36"/>
      <c r="T45" s="36"/>
      <c r="U45" s="36"/>
      <c r="V45" s="36"/>
      <c r="W45" s="36"/>
      <c r="X45" s="36"/>
      <c r="Y45" s="36"/>
      <c r="Z45" s="36"/>
    </row>
    <row r="46" spans="1:26" ht="16.5" customHeight="1" x14ac:dyDescent="0.4">
      <c r="A46" s="1"/>
      <c r="B46" s="9" t="s">
        <v>53</v>
      </c>
      <c r="C46" s="110" t="s">
        <v>54</v>
      </c>
      <c r="D46" s="107"/>
      <c r="E46" s="24" t="s">
        <v>55</v>
      </c>
      <c r="F46" s="24" t="s">
        <v>36</v>
      </c>
      <c r="G46" s="36"/>
      <c r="H46" s="36"/>
      <c r="I46" s="36"/>
      <c r="J46" s="36"/>
      <c r="K46" s="36"/>
      <c r="L46" s="36"/>
      <c r="M46" s="36"/>
      <c r="N46" s="36"/>
      <c r="O46" s="36"/>
      <c r="P46" s="36"/>
      <c r="Q46" s="36"/>
      <c r="R46" s="36"/>
      <c r="S46" s="36"/>
      <c r="T46" s="36"/>
      <c r="U46" s="36"/>
      <c r="V46" s="36"/>
      <c r="W46" s="36"/>
      <c r="X46" s="36"/>
      <c r="Y46" s="36"/>
      <c r="Z46" s="36"/>
    </row>
    <row r="47" spans="1:26" ht="16.5" customHeight="1" x14ac:dyDescent="0.4">
      <c r="A47" s="36"/>
      <c r="B47" s="66" t="s">
        <v>11</v>
      </c>
      <c r="C47" s="127" t="s">
        <v>56</v>
      </c>
      <c r="D47" s="107"/>
      <c r="E47" s="13" t="s">
        <v>57</v>
      </c>
      <c r="F47" s="98">
        <v>11</v>
      </c>
      <c r="G47" s="36"/>
      <c r="H47" s="36"/>
      <c r="I47" s="36"/>
      <c r="J47" s="36"/>
      <c r="K47" s="36"/>
      <c r="L47" s="36"/>
      <c r="M47" s="36"/>
      <c r="N47" s="36"/>
      <c r="O47" s="36"/>
      <c r="P47" s="36"/>
      <c r="Q47" s="36"/>
      <c r="R47" s="36"/>
      <c r="S47" s="36"/>
      <c r="T47" s="36"/>
      <c r="U47" s="36"/>
      <c r="V47" s="36"/>
      <c r="W47" s="36"/>
      <c r="X47" s="36"/>
      <c r="Y47" s="36"/>
      <c r="Z47" s="36"/>
    </row>
    <row r="48" spans="1:26" ht="16.5" customHeight="1" x14ac:dyDescent="0.4">
      <c r="A48" s="36"/>
      <c r="B48" s="66" t="s">
        <v>13</v>
      </c>
      <c r="C48" s="129" t="s">
        <v>58</v>
      </c>
      <c r="D48" s="107"/>
      <c r="E48" s="12" t="s">
        <v>57</v>
      </c>
      <c r="F48" s="98">
        <v>46.38</v>
      </c>
      <c r="G48" s="36"/>
      <c r="H48" s="36"/>
      <c r="I48" s="36"/>
      <c r="J48" s="36"/>
      <c r="K48" s="36"/>
      <c r="L48" s="36"/>
      <c r="M48" s="36"/>
      <c r="N48" s="36"/>
      <c r="O48" s="36"/>
      <c r="P48" s="36"/>
      <c r="Q48" s="36"/>
      <c r="R48" s="36"/>
      <c r="S48" s="36"/>
      <c r="T48" s="36"/>
      <c r="U48" s="36"/>
      <c r="V48" s="36"/>
      <c r="W48" s="36"/>
      <c r="X48" s="36"/>
      <c r="Y48" s="36"/>
      <c r="Z48" s="36"/>
    </row>
    <row r="49" spans="1:26" ht="16.5" customHeight="1" x14ac:dyDescent="0.4">
      <c r="A49" s="1"/>
      <c r="B49" s="156" t="s">
        <v>59</v>
      </c>
      <c r="C49" s="109"/>
      <c r="D49" s="107"/>
      <c r="E49" s="100"/>
      <c r="F49" s="99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</row>
    <row r="50" spans="1:26" ht="16.5" customHeight="1" x14ac:dyDescent="0.4">
      <c r="A50" s="1"/>
      <c r="B50" s="66" t="s">
        <v>15</v>
      </c>
      <c r="C50" s="145" t="s">
        <v>60</v>
      </c>
      <c r="D50" s="147"/>
      <c r="E50" s="101"/>
      <c r="F50" s="95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</row>
    <row r="51" spans="1:26" ht="16.5" customHeight="1" x14ac:dyDescent="0.4">
      <c r="A51" s="1"/>
      <c r="B51" s="66" t="s">
        <v>17</v>
      </c>
      <c r="C51" s="145" t="s">
        <v>61</v>
      </c>
      <c r="D51" s="147"/>
      <c r="E51" s="101"/>
      <c r="F51" s="95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</row>
    <row r="52" spans="1:26" ht="16.5" customHeight="1" x14ac:dyDescent="0.4">
      <c r="A52" s="36"/>
      <c r="B52" s="66" t="s">
        <v>19</v>
      </c>
      <c r="C52" s="145" t="s">
        <v>62</v>
      </c>
      <c r="D52" s="147"/>
      <c r="E52" s="101"/>
      <c r="F52" s="95"/>
      <c r="G52" s="36"/>
      <c r="H52" s="36"/>
      <c r="I52" s="36"/>
      <c r="J52" s="36"/>
      <c r="K52" s="36"/>
      <c r="L52" s="36"/>
      <c r="M52" s="36"/>
      <c r="N52" s="36"/>
      <c r="O52" s="36"/>
      <c r="P52" s="36"/>
      <c r="Q52" s="36"/>
      <c r="R52" s="36"/>
      <c r="S52" s="36"/>
      <c r="T52" s="36"/>
      <c r="U52" s="36"/>
      <c r="V52" s="36"/>
      <c r="W52" s="36"/>
      <c r="X52" s="36"/>
      <c r="Y52" s="36"/>
      <c r="Z52" s="36"/>
    </row>
    <row r="53" spans="1:26" ht="16.5" customHeight="1" x14ac:dyDescent="0.4">
      <c r="A53" s="1"/>
      <c r="B53" s="36"/>
      <c r="C53" s="36"/>
      <c r="D53" s="36"/>
      <c r="E53" s="36"/>
      <c r="F53" s="36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</row>
    <row r="54" spans="1:26" ht="16.5" customHeight="1" x14ac:dyDescent="0.4">
      <c r="A54" s="1"/>
      <c r="B54" s="22" t="s">
        <v>63</v>
      </c>
      <c r="C54" s="29"/>
      <c r="D54" s="30"/>
      <c r="E54" s="31"/>
      <c r="F54" s="3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</row>
    <row r="55" spans="1:26" ht="15" customHeight="1" x14ac:dyDescent="0.4">
      <c r="A55" s="1"/>
      <c r="B55" s="9" t="s">
        <v>64</v>
      </c>
      <c r="C55" s="108" t="s">
        <v>65</v>
      </c>
      <c r="D55" s="109"/>
      <c r="E55" s="107"/>
      <c r="F55" s="24" t="s">
        <v>66</v>
      </c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</row>
    <row r="56" spans="1:26" ht="15" customHeight="1" x14ac:dyDescent="0.4">
      <c r="A56" s="1"/>
      <c r="B56" s="9" t="s">
        <v>11</v>
      </c>
      <c r="C56" s="114" t="s">
        <v>67</v>
      </c>
      <c r="D56" s="109"/>
      <c r="E56" s="107"/>
      <c r="F56" s="96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</row>
    <row r="57" spans="1:26" ht="16.5" customHeight="1" x14ac:dyDescent="0.4">
      <c r="A57" s="36"/>
      <c r="B57" s="9" t="s">
        <v>13</v>
      </c>
      <c r="C57" s="106" t="s">
        <v>68</v>
      </c>
      <c r="D57" s="109"/>
      <c r="E57" s="107"/>
      <c r="F57" s="96"/>
      <c r="G57" s="36"/>
      <c r="H57" s="36"/>
      <c r="I57" s="36"/>
      <c r="J57" s="36"/>
      <c r="K57" s="36"/>
      <c r="L57" s="36"/>
      <c r="M57" s="36"/>
      <c r="N57" s="36"/>
      <c r="O57" s="36"/>
      <c r="P57" s="36"/>
      <c r="Q57" s="36"/>
      <c r="R57" s="36"/>
      <c r="S57" s="36"/>
      <c r="T57" s="36"/>
      <c r="U57" s="36"/>
      <c r="V57" s="36"/>
      <c r="W57" s="36"/>
      <c r="X57" s="36"/>
      <c r="Y57" s="36"/>
      <c r="Z57" s="36"/>
    </row>
    <row r="58" spans="1:26" ht="16.5" customHeight="1" x14ac:dyDescent="0.4">
      <c r="A58" s="5"/>
      <c r="B58" s="36"/>
      <c r="C58" s="36"/>
      <c r="D58" s="36"/>
      <c r="E58" s="36"/>
      <c r="F58" s="36"/>
      <c r="G58" s="5"/>
      <c r="H58" s="5"/>
      <c r="I58" s="5"/>
      <c r="J58" s="5"/>
      <c r="K58" s="5"/>
      <c r="L58" s="5"/>
      <c r="M58" s="5"/>
      <c r="N58" s="5"/>
      <c r="O58" s="5"/>
      <c r="P58" s="5"/>
      <c r="Q58" s="5"/>
      <c r="R58" s="5"/>
      <c r="S58" s="5"/>
      <c r="T58" s="5"/>
      <c r="U58" s="5"/>
      <c r="V58" s="5"/>
      <c r="W58" s="5"/>
      <c r="X58" s="5"/>
      <c r="Y58" s="5"/>
      <c r="Z58" s="5"/>
    </row>
    <row r="59" spans="1:26" ht="15" customHeight="1" x14ac:dyDescent="0.4">
      <c r="A59" s="5"/>
      <c r="B59" s="22" t="s">
        <v>69</v>
      </c>
      <c r="C59" s="29"/>
      <c r="D59" s="30"/>
      <c r="E59" s="1"/>
      <c r="F59" s="1"/>
      <c r="G59" s="5"/>
      <c r="H59" s="5"/>
      <c r="I59" s="5"/>
      <c r="J59" s="5"/>
      <c r="K59" s="5"/>
      <c r="L59" s="5"/>
      <c r="M59" s="5"/>
      <c r="N59" s="5"/>
      <c r="O59" s="5"/>
      <c r="P59" s="5"/>
      <c r="Q59" s="5"/>
      <c r="R59" s="5"/>
      <c r="S59" s="5"/>
      <c r="T59" s="5"/>
      <c r="U59" s="5"/>
      <c r="V59" s="5"/>
      <c r="W59" s="5"/>
      <c r="X59" s="5"/>
      <c r="Y59" s="5"/>
      <c r="Z59" s="5"/>
    </row>
    <row r="60" spans="1:26" ht="16.5" customHeight="1" x14ac:dyDescent="0.4">
      <c r="A60" s="5"/>
      <c r="B60" s="22" t="s">
        <v>70</v>
      </c>
      <c r="C60" s="29"/>
      <c r="D60" s="30"/>
      <c r="E60" s="31"/>
      <c r="F60" s="3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</row>
    <row r="61" spans="1:26" ht="16.5" customHeight="1" x14ac:dyDescent="0.4">
      <c r="A61" s="36"/>
      <c r="B61" s="9" t="s">
        <v>71</v>
      </c>
      <c r="C61" s="110" t="s">
        <v>72</v>
      </c>
      <c r="D61" s="109"/>
      <c r="E61" s="107"/>
      <c r="F61" s="24" t="s">
        <v>73</v>
      </c>
      <c r="G61" s="36"/>
      <c r="H61" s="36"/>
      <c r="I61" s="36"/>
      <c r="J61" s="36"/>
      <c r="K61" s="36"/>
      <c r="L61" s="36"/>
      <c r="M61" s="36"/>
      <c r="N61" s="36"/>
      <c r="O61" s="36"/>
      <c r="P61" s="36"/>
      <c r="Q61" s="36"/>
      <c r="R61" s="36"/>
      <c r="S61" s="36"/>
      <c r="T61" s="36"/>
      <c r="U61" s="36"/>
      <c r="V61" s="36"/>
      <c r="W61" s="36"/>
      <c r="X61" s="36"/>
      <c r="Y61" s="36"/>
      <c r="Z61" s="36"/>
    </row>
    <row r="62" spans="1:26" ht="16.5" customHeight="1" x14ac:dyDescent="0.4">
      <c r="A62" s="1"/>
      <c r="B62" s="24" t="s">
        <v>11</v>
      </c>
      <c r="C62" s="157" t="s">
        <v>74</v>
      </c>
      <c r="D62" s="146"/>
      <c r="E62" s="147"/>
      <c r="F62" s="102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</row>
    <row r="63" spans="1:26" ht="16.5" customHeight="1" x14ac:dyDescent="0.4">
      <c r="A63" s="1"/>
      <c r="B63" s="36"/>
      <c r="C63" s="36"/>
      <c r="D63" s="36"/>
      <c r="E63" s="36"/>
      <c r="F63" s="36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</row>
    <row r="64" spans="1:26" ht="16.5" customHeight="1" x14ac:dyDescent="0.4">
      <c r="A64" s="1"/>
      <c r="B64" s="22" t="s">
        <v>75</v>
      </c>
      <c r="C64" s="29"/>
      <c r="D64" s="30"/>
      <c r="E64" s="31"/>
      <c r="F64" s="3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</row>
    <row r="65" spans="1:26" ht="16.5" customHeight="1" x14ac:dyDescent="0.4">
      <c r="A65" s="36"/>
      <c r="B65" s="9" t="s">
        <v>76</v>
      </c>
      <c r="C65" s="108" t="s">
        <v>77</v>
      </c>
      <c r="D65" s="109"/>
      <c r="E65" s="107"/>
      <c r="F65" s="24" t="s">
        <v>66</v>
      </c>
      <c r="G65" s="36"/>
      <c r="H65" s="36"/>
      <c r="I65" s="36"/>
      <c r="J65" s="36"/>
      <c r="K65" s="36"/>
      <c r="L65" s="36"/>
      <c r="M65" s="36"/>
      <c r="N65" s="36"/>
      <c r="O65" s="36"/>
      <c r="P65" s="36"/>
      <c r="Q65" s="36"/>
      <c r="R65" s="36"/>
      <c r="S65" s="36"/>
      <c r="T65" s="36"/>
      <c r="U65" s="36"/>
      <c r="V65" s="36"/>
      <c r="W65" s="36"/>
      <c r="X65" s="36"/>
      <c r="Y65" s="36"/>
      <c r="Z65" s="36"/>
    </row>
    <row r="66" spans="1:26" ht="16.5" customHeight="1" x14ac:dyDescent="0.4">
      <c r="A66" s="1"/>
      <c r="B66" s="9" t="s">
        <v>11</v>
      </c>
      <c r="C66" s="106" t="s">
        <v>68</v>
      </c>
      <c r="D66" s="109"/>
      <c r="E66" s="107"/>
      <c r="F66" s="96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</row>
    <row r="67" spans="1:26" ht="15.75" customHeight="1" x14ac:dyDescent="0.4">
      <c r="A67" s="1"/>
      <c r="B67" s="36"/>
      <c r="C67" s="36"/>
      <c r="D67" s="36"/>
      <c r="E67" s="36"/>
      <c r="F67" s="36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</row>
    <row r="68" spans="1:26" ht="16.5" customHeight="1" x14ac:dyDescent="0.4">
      <c r="A68" s="1"/>
      <c r="B68" s="22" t="s">
        <v>78</v>
      </c>
      <c r="C68" s="29"/>
      <c r="D68" s="29"/>
      <c r="E68" s="31"/>
      <c r="F68" s="3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</row>
    <row r="69" spans="1:26" ht="16.5" customHeight="1" x14ac:dyDescent="0.4">
      <c r="A69" s="1"/>
      <c r="B69" s="43">
        <v>5</v>
      </c>
      <c r="C69" s="141" t="s">
        <v>79</v>
      </c>
      <c r="D69" s="138"/>
      <c r="E69" s="139"/>
      <c r="F69" s="44" t="s">
        <v>80</v>
      </c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</row>
    <row r="70" spans="1:26" ht="16.5" customHeight="1" x14ac:dyDescent="0.4">
      <c r="A70" s="1"/>
      <c r="B70" s="45" t="s">
        <v>11</v>
      </c>
      <c r="C70" s="137" t="s">
        <v>81</v>
      </c>
      <c r="D70" s="138"/>
      <c r="E70" s="139"/>
      <c r="F70" s="103">
        <v>129.87</v>
      </c>
      <c r="G70" s="56"/>
      <c r="H70" s="56"/>
      <c r="I70" s="56"/>
      <c r="J70" s="56"/>
      <c r="K70" s="56"/>
      <c r="L70" s="56"/>
      <c r="M70" s="56"/>
      <c r="N70" s="56"/>
      <c r="O70" s="56"/>
      <c r="P70" s="56"/>
      <c r="Q70" s="56"/>
      <c r="R70" s="56"/>
      <c r="S70" s="56"/>
      <c r="T70" s="56"/>
      <c r="U70" s="56"/>
      <c r="V70" s="56"/>
      <c r="W70" s="56"/>
      <c r="X70" s="56"/>
      <c r="Y70" s="56"/>
      <c r="Z70" s="56"/>
    </row>
    <row r="71" spans="1:26" ht="16.5" customHeight="1" x14ac:dyDescent="0.4">
      <c r="A71" s="1"/>
      <c r="B71" s="45" t="s">
        <v>13</v>
      </c>
      <c r="C71" s="143" t="s">
        <v>206</v>
      </c>
      <c r="D71" s="138"/>
      <c r="E71" s="139"/>
      <c r="F71" s="103">
        <v>192.11</v>
      </c>
      <c r="G71" s="56"/>
      <c r="H71" s="56"/>
      <c r="I71" s="56"/>
      <c r="J71" s="56"/>
      <c r="K71" s="56"/>
      <c r="L71" s="56"/>
      <c r="M71" s="56"/>
      <c r="N71" s="56"/>
      <c r="O71" s="56"/>
      <c r="P71" s="56"/>
      <c r="Q71" s="56"/>
      <c r="R71" s="56"/>
      <c r="S71" s="56"/>
      <c r="T71" s="56"/>
      <c r="U71" s="56"/>
      <c r="V71" s="56"/>
      <c r="W71" s="56"/>
      <c r="X71" s="56"/>
      <c r="Y71" s="56"/>
      <c r="Z71" s="56"/>
    </row>
    <row r="72" spans="1:26" ht="16.5" customHeight="1" x14ac:dyDescent="0.4">
      <c r="A72" s="36"/>
      <c r="B72" s="45" t="s">
        <v>15</v>
      </c>
      <c r="C72" s="137" t="s">
        <v>209</v>
      </c>
      <c r="D72" s="138"/>
      <c r="E72" s="139"/>
      <c r="F72" s="103">
        <v>0.52</v>
      </c>
      <c r="G72" s="36"/>
      <c r="H72" s="36"/>
      <c r="I72" s="36"/>
      <c r="J72" s="36"/>
      <c r="K72" s="36"/>
      <c r="L72" s="36"/>
      <c r="M72" s="36"/>
      <c r="N72" s="36"/>
      <c r="O72" s="36"/>
      <c r="P72" s="36"/>
      <c r="Q72" s="36"/>
      <c r="R72" s="36"/>
      <c r="S72" s="36"/>
      <c r="T72" s="36"/>
      <c r="U72" s="36"/>
      <c r="V72" s="36"/>
      <c r="W72" s="36"/>
      <c r="X72" s="36"/>
      <c r="Y72" s="36"/>
      <c r="Z72" s="36"/>
    </row>
    <row r="73" spans="1:26" ht="16.5" customHeight="1" x14ac:dyDescent="0.4">
      <c r="A73" s="1"/>
      <c r="B73" s="45" t="s">
        <v>17</v>
      </c>
      <c r="C73" s="145" t="s">
        <v>205</v>
      </c>
      <c r="D73" s="146"/>
      <c r="E73" s="147"/>
      <c r="F73" s="95">
        <v>19.36</v>
      </c>
      <c r="G73" s="61"/>
      <c r="H73" s="61"/>
      <c r="I73" s="61"/>
      <c r="J73" s="61"/>
      <c r="K73" s="61"/>
      <c r="L73" s="61"/>
      <c r="M73" s="61"/>
      <c r="N73" s="61"/>
      <c r="O73" s="61"/>
      <c r="P73" s="61"/>
      <c r="Q73" s="61"/>
      <c r="R73" s="61"/>
      <c r="S73" s="61"/>
      <c r="T73" s="61"/>
      <c r="U73" s="61"/>
      <c r="V73" s="61"/>
      <c r="W73" s="61"/>
      <c r="X73" s="61"/>
      <c r="Y73" s="61"/>
      <c r="Z73" s="61"/>
    </row>
    <row r="74" spans="1:26" ht="16.5" customHeight="1" x14ac:dyDescent="0.4">
      <c r="A74" s="1"/>
      <c r="B74" s="36"/>
      <c r="C74" s="36"/>
      <c r="D74" s="36"/>
      <c r="E74" s="36"/>
      <c r="F74" s="36"/>
      <c r="G74" s="62"/>
      <c r="H74" s="62"/>
      <c r="I74" s="62"/>
      <c r="J74" s="62"/>
      <c r="K74" s="62"/>
      <c r="L74" s="62"/>
      <c r="M74" s="62"/>
      <c r="N74" s="62"/>
      <c r="O74" s="62"/>
      <c r="P74" s="62"/>
      <c r="Q74" s="62"/>
      <c r="R74" s="62"/>
      <c r="S74" s="62"/>
      <c r="T74" s="62"/>
      <c r="U74" s="62"/>
      <c r="V74" s="62"/>
      <c r="W74" s="62"/>
      <c r="X74" s="62"/>
      <c r="Y74" s="62"/>
      <c r="Z74" s="62"/>
    </row>
    <row r="75" spans="1:26" ht="16.5" customHeight="1" x14ac:dyDescent="0.4">
      <c r="A75" s="56"/>
      <c r="B75" s="142" t="s">
        <v>84</v>
      </c>
      <c r="C75" s="122"/>
      <c r="D75" s="122"/>
      <c r="E75" s="122"/>
      <c r="F75" s="123"/>
      <c r="G75" s="62"/>
      <c r="H75" s="62"/>
      <c r="I75" s="62"/>
      <c r="J75" s="62"/>
      <c r="K75" s="62"/>
      <c r="L75" s="62"/>
      <c r="M75" s="62"/>
      <c r="N75" s="62"/>
      <c r="O75" s="62"/>
      <c r="P75" s="62"/>
      <c r="Q75" s="62"/>
      <c r="R75" s="62"/>
      <c r="S75" s="62"/>
      <c r="T75" s="62"/>
      <c r="U75" s="62"/>
      <c r="V75" s="62"/>
      <c r="W75" s="62"/>
      <c r="X75" s="62"/>
      <c r="Y75" s="62"/>
      <c r="Z75" s="62"/>
    </row>
    <row r="76" spans="1:26" ht="16.5" customHeight="1" x14ac:dyDescent="0.4">
      <c r="A76" s="56"/>
      <c r="B76" s="9">
        <v>6</v>
      </c>
      <c r="C76" s="108" t="s">
        <v>85</v>
      </c>
      <c r="D76" s="109"/>
      <c r="E76" s="107"/>
      <c r="F76" s="24" t="s">
        <v>73</v>
      </c>
      <c r="G76" s="62"/>
      <c r="H76" s="62"/>
      <c r="I76" s="62"/>
      <c r="J76" s="62"/>
      <c r="K76" s="62"/>
      <c r="L76" s="62"/>
      <c r="M76" s="62"/>
      <c r="N76" s="62"/>
      <c r="O76" s="62"/>
      <c r="P76" s="62"/>
      <c r="Q76" s="62"/>
      <c r="R76" s="62"/>
      <c r="S76" s="62"/>
      <c r="T76" s="62"/>
      <c r="U76" s="62"/>
      <c r="V76" s="62"/>
      <c r="W76" s="62"/>
      <c r="X76" s="62"/>
      <c r="Y76" s="62"/>
      <c r="Z76" s="62"/>
    </row>
    <row r="77" spans="1:26" ht="16.5" customHeight="1" x14ac:dyDescent="0.4">
      <c r="A77" s="61"/>
      <c r="B77" s="9" t="s">
        <v>11</v>
      </c>
      <c r="C77" s="111" t="s">
        <v>86</v>
      </c>
      <c r="D77" s="109"/>
      <c r="E77" s="107"/>
      <c r="F77" s="104">
        <v>4.7300000000000004</v>
      </c>
      <c r="G77" s="62"/>
      <c r="H77" s="62"/>
      <c r="I77" s="62"/>
      <c r="J77" s="62"/>
      <c r="K77" s="62"/>
      <c r="L77" s="62"/>
      <c r="M77" s="62"/>
      <c r="N77" s="62"/>
      <c r="O77" s="62"/>
      <c r="P77" s="62"/>
      <c r="Q77" s="62"/>
      <c r="R77" s="62"/>
      <c r="S77" s="62"/>
      <c r="T77" s="62"/>
      <c r="U77" s="62"/>
      <c r="V77" s="62"/>
      <c r="W77" s="62"/>
      <c r="X77" s="62"/>
      <c r="Y77" s="62"/>
      <c r="Z77" s="62"/>
    </row>
    <row r="78" spans="1:26" ht="16.5" customHeight="1" x14ac:dyDescent="0.4">
      <c r="A78" s="1"/>
      <c r="B78" s="24" t="s">
        <v>13</v>
      </c>
      <c r="C78" s="106" t="s">
        <v>87</v>
      </c>
      <c r="D78" s="109"/>
      <c r="E78" s="107"/>
      <c r="F78" s="104">
        <v>5.57</v>
      </c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</row>
    <row r="79" spans="1:26" ht="16.5" customHeight="1" x14ac:dyDescent="0.4">
      <c r="A79" s="1"/>
      <c r="B79" s="51" t="s">
        <v>88</v>
      </c>
      <c r="C79" s="111" t="s">
        <v>89</v>
      </c>
      <c r="D79" s="109"/>
      <c r="E79" s="107"/>
      <c r="F79" s="104">
        <v>0.65</v>
      </c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</row>
    <row r="80" spans="1:26" ht="16.5" customHeight="1" x14ac:dyDescent="0.4">
      <c r="A80" s="36"/>
      <c r="B80" s="51" t="s">
        <v>90</v>
      </c>
      <c r="C80" s="106" t="s">
        <v>91</v>
      </c>
      <c r="D80" s="109"/>
      <c r="E80" s="107"/>
      <c r="F80" s="104">
        <v>3</v>
      </c>
      <c r="G80" s="36"/>
      <c r="H80" s="36"/>
      <c r="I80" s="36"/>
      <c r="J80" s="36"/>
      <c r="K80" s="36"/>
      <c r="L80" s="36"/>
      <c r="M80" s="36"/>
      <c r="N80" s="36"/>
      <c r="O80" s="36"/>
      <c r="P80" s="36"/>
      <c r="Q80" s="36"/>
      <c r="R80" s="36"/>
      <c r="S80" s="36"/>
      <c r="T80" s="36"/>
      <c r="U80" s="36"/>
      <c r="V80" s="36"/>
      <c r="W80" s="36"/>
      <c r="X80" s="36"/>
      <c r="Y80" s="36"/>
      <c r="Z80" s="36"/>
    </row>
    <row r="81" spans="1:26" ht="16.5" customHeight="1" x14ac:dyDescent="0.4">
      <c r="A81" s="1"/>
      <c r="B81" s="51" t="s">
        <v>92</v>
      </c>
      <c r="C81" s="111" t="s">
        <v>93</v>
      </c>
      <c r="D81" s="109"/>
      <c r="E81" s="107"/>
      <c r="F81" s="104">
        <v>5</v>
      </c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</row>
    <row r="82" spans="1:26" ht="14.25" customHeight="1" x14ac:dyDescent="0.4">
      <c r="A82" s="1"/>
      <c r="B82" s="36"/>
      <c r="C82" s="36"/>
      <c r="D82" s="36"/>
      <c r="E82" s="36"/>
      <c r="F82" s="36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</row>
    <row r="83" spans="1:26" ht="32.25" customHeight="1" x14ac:dyDescent="0.4">
      <c r="A83" s="1"/>
      <c r="B83" s="65" t="s">
        <v>94</v>
      </c>
      <c r="C83" s="67"/>
      <c r="D83" s="67"/>
      <c r="E83" s="67"/>
      <c r="F83" s="68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</row>
    <row r="84" spans="1:26" ht="36.75" customHeight="1" x14ac:dyDescent="0.4">
      <c r="A84" s="1"/>
      <c r="B84" s="144" t="s">
        <v>95</v>
      </c>
      <c r="C84" s="122"/>
      <c r="D84" s="122"/>
      <c r="E84" s="122"/>
      <c r="F84" s="123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</row>
    <row r="85" spans="1:26" ht="16.5" customHeight="1" x14ac:dyDescent="0.4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</row>
    <row r="86" spans="1:26" ht="16.5" customHeight="1" x14ac:dyDescent="0.4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</row>
    <row r="87" spans="1:26" ht="16.5" customHeight="1" x14ac:dyDescent="0.4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</row>
    <row r="88" spans="1:26" ht="16.5" customHeight="1" x14ac:dyDescent="0.4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</row>
    <row r="89" spans="1:26" ht="16.5" customHeight="1" x14ac:dyDescent="0.4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</row>
    <row r="90" spans="1:26" ht="16.5" customHeight="1" x14ac:dyDescent="0.4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</row>
    <row r="91" spans="1:26" ht="16.5" customHeight="1" x14ac:dyDescent="0.4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</row>
    <row r="92" spans="1:26" ht="16.5" customHeight="1" x14ac:dyDescent="0.4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</row>
    <row r="93" spans="1:26" ht="16.5" customHeight="1" x14ac:dyDescent="0.4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</row>
    <row r="94" spans="1:26" ht="16.5" customHeight="1" x14ac:dyDescent="0.4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</row>
    <row r="95" spans="1:26" ht="16.5" customHeight="1" x14ac:dyDescent="0.4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</row>
    <row r="96" spans="1:26" ht="16.5" customHeight="1" x14ac:dyDescent="0.4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</row>
    <row r="97" spans="1:26" ht="16.5" customHeight="1" x14ac:dyDescent="0.4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</row>
    <row r="98" spans="1:26" ht="16.5" customHeight="1" x14ac:dyDescent="0.4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</row>
    <row r="99" spans="1:26" ht="16.5" customHeight="1" x14ac:dyDescent="0.4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</row>
    <row r="100" spans="1:26" ht="16.5" customHeight="1" x14ac:dyDescent="0.4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</row>
    <row r="101" spans="1:26" ht="16.5" customHeight="1" x14ac:dyDescent="0.4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</row>
    <row r="102" spans="1:26" ht="16.5" customHeight="1" x14ac:dyDescent="0.4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</row>
    <row r="103" spans="1:26" ht="16.5" customHeight="1" x14ac:dyDescent="0.4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</row>
    <row r="104" spans="1:26" ht="16.5" customHeight="1" x14ac:dyDescent="0.4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</row>
    <row r="105" spans="1:26" ht="16.5" customHeight="1" x14ac:dyDescent="0.4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</row>
    <row r="106" spans="1:26" ht="16.5" customHeight="1" x14ac:dyDescent="0.4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</row>
    <row r="107" spans="1:26" ht="16.5" customHeight="1" x14ac:dyDescent="0.4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</row>
    <row r="108" spans="1:26" ht="16.5" customHeight="1" x14ac:dyDescent="0.4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</row>
    <row r="109" spans="1:26" ht="16.5" customHeight="1" x14ac:dyDescent="0.4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</row>
    <row r="110" spans="1:26" ht="16.5" customHeight="1" x14ac:dyDescent="0.4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</row>
    <row r="111" spans="1:26" ht="16.5" customHeight="1" x14ac:dyDescent="0.4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</row>
    <row r="112" spans="1:26" ht="16.5" customHeight="1" x14ac:dyDescent="0.4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</row>
    <row r="113" spans="1:26" ht="16.5" customHeight="1" x14ac:dyDescent="0.4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</row>
    <row r="114" spans="1:26" ht="16.5" customHeight="1" x14ac:dyDescent="0.4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</row>
    <row r="115" spans="1:26" ht="16.5" customHeight="1" x14ac:dyDescent="0.4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</row>
    <row r="116" spans="1:26" ht="16.5" customHeight="1" x14ac:dyDescent="0.4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</row>
    <row r="117" spans="1:26" ht="16.5" customHeight="1" x14ac:dyDescent="0.4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</row>
    <row r="118" spans="1:26" ht="16.5" customHeight="1" x14ac:dyDescent="0.4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</row>
    <row r="119" spans="1:26" ht="16.5" customHeight="1" x14ac:dyDescent="0.4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</row>
    <row r="120" spans="1:26" ht="16.5" customHeight="1" x14ac:dyDescent="0.4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</row>
    <row r="121" spans="1:26" ht="16.5" customHeight="1" x14ac:dyDescent="0.4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</row>
    <row r="122" spans="1:26" ht="16.5" customHeight="1" x14ac:dyDescent="0.4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</row>
    <row r="123" spans="1:26" ht="16.5" customHeight="1" x14ac:dyDescent="0.4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</row>
    <row r="124" spans="1:26" ht="16.5" customHeight="1" x14ac:dyDescent="0.4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</row>
    <row r="125" spans="1:26" ht="16.5" customHeight="1" x14ac:dyDescent="0.4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</row>
    <row r="126" spans="1:26" ht="16.5" customHeight="1" x14ac:dyDescent="0.4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</row>
    <row r="127" spans="1:26" ht="16.5" customHeight="1" x14ac:dyDescent="0.4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</row>
    <row r="128" spans="1:26" ht="16.5" customHeight="1" x14ac:dyDescent="0.4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</row>
    <row r="129" spans="1:26" ht="16.5" customHeight="1" x14ac:dyDescent="0.4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</row>
    <row r="130" spans="1:26" ht="16.5" customHeight="1" x14ac:dyDescent="0.4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</row>
    <row r="131" spans="1:26" ht="16.5" customHeight="1" x14ac:dyDescent="0.4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</row>
    <row r="132" spans="1:26" ht="16.5" customHeight="1" x14ac:dyDescent="0.4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</row>
    <row r="133" spans="1:26" ht="16.5" customHeight="1" x14ac:dyDescent="0.4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</row>
    <row r="134" spans="1:26" ht="16.5" customHeight="1" x14ac:dyDescent="0.4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</row>
    <row r="135" spans="1:26" ht="16.5" customHeight="1" x14ac:dyDescent="0.4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</row>
    <row r="136" spans="1:26" ht="16.5" customHeight="1" x14ac:dyDescent="0.4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</row>
    <row r="137" spans="1:26" ht="16.5" customHeight="1" x14ac:dyDescent="0.4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</row>
    <row r="138" spans="1:26" ht="16.5" customHeight="1" x14ac:dyDescent="0.4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</row>
    <row r="139" spans="1:26" ht="16.5" customHeight="1" x14ac:dyDescent="0.4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</row>
    <row r="140" spans="1:26" ht="16.5" customHeight="1" x14ac:dyDescent="0.4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</row>
    <row r="141" spans="1:26" ht="16.5" customHeight="1" x14ac:dyDescent="0.4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</row>
    <row r="142" spans="1:26" ht="16.5" customHeight="1" x14ac:dyDescent="0.4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</row>
    <row r="143" spans="1:26" ht="16.5" customHeight="1" x14ac:dyDescent="0.4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</row>
    <row r="144" spans="1:26" ht="16.5" customHeight="1" x14ac:dyDescent="0.4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</row>
    <row r="145" spans="1:26" ht="16.5" customHeight="1" x14ac:dyDescent="0.4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</row>
    <row r="146" spans="1:26" ht="16.5" customHeight="1" x14ac:dyDescent="0.4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</row>
    <row r="147" spans="1:26" ht="16.5" customHeight="1" x14ac:dyDescent="0.4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</row>
    <row r="148" spans="1:26" ht="16.5" customHeight="1" x14ac:dyDescent="0.4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</row>
    <row r="149" spans="1:26" ht="16.5" customHeight="1" x14ac:dyDescent="0.4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</row>
    <row r="150" spans="1:26" ht="16.5" customHeight="1" x14ac:dyDescent="0.4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</row>
    <row r="151" spans="1:26" ht="16.5" customHeight="1" x14ac:dyDescent="0.4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</row>
    <row r="152" spans="1:26" ht="16.5" customHeight="1" x14ac:dyDescent="0.4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</row>
    <row r="153" spans="1:26" ht="16.5" customHeight="1" x14ac:dyDescent="0.4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</row>
    <row r="154" spans="1:26" ht="16.5" customHeight="1" x14ac:dyDescent="0.4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</row>
    <row r="155" spans="1:26" ht="16.5" customHeight="1" x14ac:dyDescent="0.4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</row>
    <row r="156" spans="1:26" ht="16.5" customHeight="1" x14ac:dyDescent="0.4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</row>
    <row r="157" spans="1:26" ht="16.5" customHeight="1" x14ac:dyDescent="0.4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</row>
    <row r="158" spans="1:26" ht="16.5" customHeight="1" x14ac:dyDescent="0.4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</row>
    <row r="159" spans="1:26" ht="16.5" customHeight="1" x14ac:dyDescent="0.4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</row>
    <row r="160" spans="1:26" ht="16.5" customHeight="1" x14ac:dyDescent="0.4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</row>
    <row r="161" spans="1:26" ht="16.5" customHeight="1" x14ac:dyDescent="0.4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</row>
    <row r="162" spans="1:26" ht="16.5" customHeight="1" x14ac:dyDescent="0.4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</row>
    <row r="163" spans="1:26" ht="16.5" customHeight="1" x14ac:dyDescent="0.4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</row>
    <row r="164" spans="1:26" ht="16.5" customHeight="1" x14ac:dyDescent="0.4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</row>
    <row r="165" spans="1:26" ht="16.5" customHeight="1" x14ac:dyDescent="0.4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</row>
    <row r="166" spans="1:26" ht="16.5" customHeight="1" x14ac:dyDescent="0.4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</row>
    <row r="167" spans="1:26" ht="16.5" customHeight="1" x14ac:dyDescent="0.4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</row>
    <row r="168" spans="1:26" ht="16.5" customHeight="1" x14ac:dyDescent="0.4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</row>
    <row r="169" spans="1:26" ht="16.5" customHeight="1" x14ac:dyDescent="0.4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</row>
    <row r="170" spans="1:26" ht="16.5" customHeight="1" x14ac:dyDescent="0.4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</row>
    <row r="171" spans="1:26" ht="16.5" customHeight="1" x14ac:dyDescent="0.4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</row>
    <row r="172" spans="1:26" ht="16.5" customHeight="1" x14ac:dyDescent="0.4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</row>
    <row r="173" spans="1:26" ht="16.5" customHeight="1" x14ac:dyDescent="0.4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</row>
    <row r="174" spans="1:26" ht="16.5" customHeight="1" x14ac:dyDescent="0.4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</row>
    <row r="175" spans="1:26" ht="16.5" customHeight="1" x14ac:dyDescent="0.4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</row>
    <row r="176" spans="1:26" ht="16.5" customHeight="1" x14ac:dyDescent="0.4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</row>
    <row r="177" spans="1:26" ht="16.5" customHeight="1" x14ac:dyDescent="0.4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</row>
    <row r="178" spans="1:26" ht="16.5" customHeight="1" x14ac:dyDescent="0.4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</row>
    <row r="179" spans="1:26" ht="16.5" customHeight="1" x14ac:dyDescent="0.4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</row>
    <row r="180" spans="1:26" ht="16.5" customHeight="1" x14ac:dyDescent="0.4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</row>
    <row r="181" spans="1:26" ht="16.5" customHeight="1" x14ac:dyDescent="0.4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</row>
    <row r="182" spans="1:26" ht="16.5" customHeight="1" x14ac:dyDescent="0.4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</row>
    <row r="183" spans="1:26" ht="16.5" customHeight="1" x14ac:dyDescent="0.4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</row>
    <row r="184" spans="1:26" ht="16.5" customHeight="1" x14ac:dyDescent="0.4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</row>
    <row r="185" spans="1:26" ht="16.5" customHeight="1" x14ac:dyDescent="0.4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</row>
    <row r="186" spans="1:26" ht="16.5" customHeight="1" x14ac:dyDescent="0.4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</row>
    <row r="187" spans="1:26" ht="16.5" customHeight="1" x14ac:dyDescent="0.4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</row>
    <row r="188" spans="1:26" ht="16.5" customHeight="1" x14ac:dyDescent="0.4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</row>
    <row r="189" spans="1:26" ht="16.5" customHeight="1" x14ac:dyDescent="0.4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</row>
    <row r="190" spans="1:26" ht="16.5" customHeight="1" x14ac:dyDescent="0.4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</row>
    <row r="191" spans="1:26" ht="16.5" customHeight="1" x14ac:dyDescent="0.4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</row>
    <row r="192" spans="1:26" ht="16.5" customHeight="1" x14ac:dyDescent="0.4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</row>
    <row r="193" spans="1:26" ht="16.5" customHeight="1" x14ac:dyDescent="0.4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</row>
    <row r="194" spans="1:26" ht="16.5" customHeight="1" x14ac:dyDescent="0.4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</row>
    <row r="195" spans="1:26" ht="16.5" customHeight="1" x14ac:dyDescent="0.4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</row>
    <row r="196" spans="1:26" ht="16.5" customHeight="1" x14ac:dyDescent="0.4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</row>
    <row r="197" spans="1:26" ht="16.5" customHeight="1" x14ac:dyDescent="0.4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</row>
    <row r="198" spans="1:26" ht="16.5" customHeight="1" x14ac:dyDescent="0.4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</row>
    <row r="199" spans="1:26" ht="16.5" customHeight="1" x14ac:dyDescent="0.4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</row>
    <row r="200" spans="1:26" ht="16.5" customHeight="1" x14ac:dyDescent="0.4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</row>
    <row r="201" spans="1:26" ht="16.5" customHeight="1" x14ac:dyDescent="0.4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</row>
    <row r="202" spans="1:26" ht="16.5" customHeight="1" x14ac:dyDescent="0.4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</row>
    <row r="203" spans="1:26" ht="16.5" customHeight="1" x14ac:dyDescent="0.4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</row>
    <row r="204" spans="1:26" ht="16.5" customHeight="1" x14ac:dyDescent="0.4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</row>
    <row r="205" spans="1:26" ht="16.5" customHeight="1" x14ac:dyDescent="0.4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</row>
    <row r="206" spans="1:26" ht="16.5" customHeight="1" x14ac:dyDescent="0.4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</row>
    <row r="207" spans="1:26" ht="16.5" customHeight="1" x14ac:dyDescent="0.4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</row>
    <row r="208" spans="1:26" ht="16.5" customHeight="1" x14ac:dyDescent="0.4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</row>
    <row r="209" spans="1:26" ht="16.5" customHeight="1" x14ac:dyDescent="0.4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</row>
    <row r="210" spans="1:26" ht="16.5" customHeight="1" x14ac:dyDescent="0.4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</row>
    <row r="211" spans="1:26" ht="16.5" customHeight="1" x14ac:dyDescent="0.4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</row>
    <row r="212" spans="1:26" ht="16.5" customHeight="1" x14ac:dyDescent="0.4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</row>
    <row r="213" spans="1:26" ht="16.5" customHeight="1" x14ac:dyDescent="0.4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</row>
    <row r="214" spans="1:26" ht="16.5" customHeight="1" x14ac:dyDescent="0.4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</row>
    <row r="215" spans="1:26" ht="16.5" customHeight="1" x14ac:dyDescent="0.4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</row>
    <row r="216" spans="1:26" ht="16.5" customHeight="1" x14ac:dyDescent="0.4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</row>
    <row r="217" spans="1:26" ht="16.5" customHeight="1" x14ac:dyDescent="0.4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</row>
    <row r="218" spans="1:26" ht="16.5" customHeight="1" x14ac:dyDescent="0.4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</row>
    <row r="219" spans="1:26" ht="16.5" customHeight="1" x14ac:dyDescent="0.4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</row>
    <row r="220" spans="1:26" ht="16.5" customHeight="1" x14ac:dyDescent="0.4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</row>
    <row r="221" spans="1:26" ht="16.5" customHeight="1" x14ac:dyDescent="0.4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</row>
    <row r="222" spans="1:26" ht="16.5" customHeight="1" x14ac:dyDescent="0.4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</row>
    <row r="223" spans="1:26" ht="16.5" customHeight="1" x14ac:dyDescent="0.4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</row>
    <row r="224" spans="1:26" ht="16.5" customHeight="1" x14ac:dyDescent="0.4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</row>
    <row r="225" spans="1:26" ht="16.5" customHeight="1" x14ac:dyDescent="0.4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</row>
    <row r="226" spans="1:26" ht="16.5" customHeight="1" x14ac:dyDescent="0.4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</row>
    <row r="227" spans="1:26" ht="16.5" customHeight="1" x14ac:dyDescent="0.4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</row>
    <row r="228" spans="1:26" ht="16.5" customHeight="1" x14ac:dyDescent="0.4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</row>
    <row r="229" spans="1:26" ht="16.5" customHeight="1" x14ac:dyDescent="0.4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</row>
    <row r="230" spans="1:26" ht="16.5" customHeight="1" x14ac:dyDescent="0.4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</row>
    <row r="231" spans="1:26" ht="16.5" customHeight="1" x14ac:dyDescent="0.4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</row>
    <row r="232" spans="1:26" ht="16.5" customHeight="1" x14ac:dyDescent="0.4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</row>
    <row r="233" spans="1:26" ht="16.5" customHeight="1" x14ac:dyDescent="0.4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</row>
    <row r="234" spans="1:26" ht="16.5" customHeight="1" x14ac:dyDescent="0.4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</row>
    <row r="235" spans="1:26" ht="16.5" customHeight="1" x14ac:dyDescent="0.4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</row>
    <row r="236" spans="1:26" ht="16.5" customHeight="1" x14ac:dyDescent="0.4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</row>
    <row r="237" spans="1:26" ht="16.5" customHeight="1" x14ac:dyDescent="0.4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</row>
    <row r="238" spans="1:26" ht="16.5" customHeight="1" x14ac:dyDescent="0.4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</row>
    <row r="239" spans="1:26" ht="16.5" customHeight="1" x14ac:dyDescent="0.4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</row>
    <row r="240" spans="1:26" ht="16.5" customHeight="1" x14ac:dyDescent="0.4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</row>
    <row r="241" spans="1:26" ht="16.5" customHeight="1" x14ac:dyDescent="0.4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</row>
    <row r="242" spans="1:26" ht="16.5" customHeight="1" x14ac:dyDescent="0.4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</row>
    <row r="243" spans="1:26" ht="16.5" customHeight="1" x14ac:dyDescent="0.4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</row>
    <row r="244" spans="1:26" ht="16.5" customHeight="1" x14ac:dyDescent="0.4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</row>
    <row r="245" spans="1:26" ht="16.5" customHeight="1" x14ac:dyDescent="0.4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</row>
    <row r="246" spans="1:26" ht="16.5" customHeight="1" x14ac:dyDescent="0.4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</row>
    <row r="247" spans="1:26" ht="16.5" customHeight="1" x14ac:dyDescent="0.4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</row>
    <row r="248" spans="1:26" ht="16.5" customHeight="1" x14ac:dyDescent="0.4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</row>
    <row r="249" spans="1:26" ht="16.5" customHeight="1" x14ac:dyDescent="0.4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</row>
    <row r="250" spans="1:26" ht="16.5" customHeight="1" x14ac:dyDescent="0.4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</row>
    <row r="251" spans="1:26" ht="16.5" customHeight="1" x14ac:dyDescent="0.4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</row>
    <row r="252" spans="1:26" ht="16.5" customHeight="1" x14ac:dyDescent="0.4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</row>
    <row r="253" spans="1:26" ht="16.5" customHeight="1" x14ac:dyDescent="0.4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</row>
    <row r="254" spans="1:26" ht="16.5" customHeight="1" x14ac:dyDescent="0.4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</row>
    <row r="255" spans="1:26" ht="16.5" customHeight="1" x14ac:dyDescent="0.4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</row>
    <row r="256" spans="1:26" ht="16.5" customHeight="1" x14ac:dyDescent="0.4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</row>
    <row r="257" spans="1:26" ht="16.5" customHeight="1" x14ac:dyDescent="0.4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</row>
    <row r="258" spans="1:26" ht="16.5" customHeight="1" x14ac:dyDescent="0.4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</row>
    <row r="259" spans="1:26" ht="16.5" customHeight="1" x14ac:dyDescent="0.4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</row>
    <row r="260" spans="1:26" ht="16.5" customHeight="1" x14ac:dyDescent="0.4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</row>
    <row r="261" spans="1:26" ht="16.5" customHeight="1" x14ac:dyDescent="0.4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</row>
    <row r="262" spans="1:26" ht="16.5" customHeight="1" x14ac:dyDescent="0.4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</row>
    <row r="263" spans="1:26" ht="16.5" customHeight="1" x14ac:dyDescent="0.4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</row>
    <row r="264" spans="1:26" ht="16.5" customHeight="1" x14ac:dyDescent="0.4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</row>
    <row r="265" spans="1:26" ht="16.5" customHeight="1" x14ac:dyDescent="0.4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</row>
    <row r="266" spans="1:26" ht="16.5" customHeight="1" x14ac:dyDescent="0.4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</row>
    <row r="267" spans="1:26" ht="16.5" customHeight="1" x14ac:dyDescent="0.4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</row>
    <row r="268" spans="1:26" ht="16.5" customHeight="1" x14ac:dyDescent="0.4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</row>
    <row r="269" spans="1:26" ht="16.5" customHeight="1" x14ac:dyDescent="0.4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</row>
    <row r="270" spans="1:26" ht="16.5" customHeight="1" x14ac:dyDescent="0.4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</row>
    <row r="271" spans="1:26" ht="16.5" customHeight="1" x14ac:dyDescent="0.4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</row>
    <row r="272" spans="1:26" ht="16.5" customHeight="1" x14ac:dyDescent="0.4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</row>
    <row r="273" spans="1:26" ht="16.5" customHeight="1" x14ac:dyDescent="0.4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</row>
    <row r="274" spans="1:26" ht="16.5" customHeight="1" x14ac:dyDescent="0.4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</row>
    <row r="275" spans="1:26" ht="16.5" customHeight="1" x14ac:dyDescent="0.4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</row>
    <row r="276" spans="1:26" ht="16.5" customHeight="1" x14ac:dyDescent="0.4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</row>
    <row r="277" spans="1:26" ht="16.5" customHeight="1" x14ac:dyDescent="0.4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</row>
    <row r="278" spans="1:26" ht="16.5" customHeight="1" x14ac:dyDescent="0.4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</row>
    <row r="279" spans="1:26" ht="16.5" customHeight="1" x14ac:dyDescent="0.4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</row>
    <row r="280" spans="1:26" ht="16.5" customHeight="1" x14ac:dyDescent="0.4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</row>
    <row r="281" spans="1:26" ht="16.5" customHeight="1" x14ac:dyDescent="0.4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</row>
    <row r="282" spans="1:26" ht="16.5" customHeight="1" x14ac:dyDescent="0.4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</row>
    <row r="283" spans="1:26" ht="16.5" customHeight="1" x14ac:dyDescent="0.4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</row>
    <row r="284" spans="1:26" ht="16.5" customHeight="1" x14ac:dyDescent="0.4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</row>
    <row r="285" spans="1:26" ht="16.5" customHeight="1" x14ac:dyDescent="0.4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</row>
    <row r="286" spans="1:26" ht="16.5" customHeight="1" x14ac:dyDescent="0.4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</row>
    <row r="287" spans="1:26" ht="16.5" customHeight="1" x14ac:dyDescent="0.4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</row>
    <row r="288" spans="1:26" ht="16.5" customHeight="1" x14ac:dyDescent="0.4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</row>
    <row r="289" spans="1:26" ht="16.5" customHeight="1" x14ac:dyDescent="0.4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</row>
    <row r="290" spans="1:26" ht="16.5" customHeight="1" x14ac:dyDescent="0.4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</row>
    <row r="291" spans="1:26" ht="16.5" customHeight="1" x14ac:dyDescent="0.4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</row>
    <row r="292" spans="1:26" ht="16.5" customHeight="1" x14ac:dyDescent="0.4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</row>
    <row r="293" spans="1:26" ht="16.5" customHeight="1" x14ac:dyDescent="0.4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</row>
    <row r="294" spans="1:26" ht="16.5" customHeight="1" x14ac:dyDescent="0.4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</row>
    <row r="295" spans="1:26" ht="16.5" customHeight="1" x14ac:dyDescent="0.4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</row>
    <row r="296" spans="1:26" ht="16.5" customHeight="1" x14ac:dyDescent="0.4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</row>
    <row r="297" spans="1:26" ht="16.5" customHeight="1" x14ac:dyDescent="0.4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</row>
    <row r="298" spans="1:26" ht="16.5" customHeight="1" x14ac:dyDescent="0.4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</row>
    <row r="299" spans="1:26" ht="16.5" customHeight="1" x14ac:dyDescent="0.4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</row>
    <row r="300" spans="1:26" ht="16.5" customHeight="1" x14ac:dyDescent="0.4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</row>
    <row r="301" spans="1:26" ht="16.5" customHeight="1" x14ac:dyDescent="0.4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</row>
    <row r="302" spans="1:26" ht="16.5" customHeight="1" x14ac:dyDescent="0.4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</row>
    <row r="303" spans="1:26" ht="16.5" customHeight="1" x14ac:dyDescent="0.4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</row>
    <row r="304" spans="1:26" ht="16.5" customHeight="1" x14ac:dyDescent="0.4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</row>
    <row r="305" spans="1:26" ht="16.5" customHeight="1" x14ac:dyDescent="0.4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</row>
    <row r="306" spans="1:26" ht="16.5" customHeight="1" x14ac:dyDescent="0.4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</row>
    <row r="307" spans="1:26" ht="16.5" customHeight="1" x14ac:dyDescent="0.4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</row>
    <row r="308" spans="1:26" ht="16.5" customHeight="1" x14ac:dyDescent="0.4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</row>
    <row r="309" spans="1:26" ht="16.5" customHeight="1" x14ac:dyDescent="0.4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</row>
    <row r="310" spans="1:26" ht="16.5" customHeight="1" x14ac:dyDescent="0.4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</row>
    <row r="311" spans="1:26" ht="16.5" customHeight="1" x14ac:dyDescent="0.4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</row>
    <row r="312" spans="1:26" ht="16.5" customHeight="1" x14ac:dyDescent="0.4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</row>
    <row r="313" spans="1:26" ht="16.5" customHeight="1" x14ac:dyDescent="0.4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</row>
    <row r="314" spans="1:26" ht="16.5" customHeight="1" x14ac:dyDescent="0.4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</row>
    <row r="315" spans="1:26" ht="16.5" customHeight="1" x14ac:dyDescent="0.4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</row>
    <row r="316" spans="1:26" ht="16.5" customHeight="1" x14ac:dyDescent="0.4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</row>
    <row r="317" spans="1:26" ht="16.5" customHeight="1" x14ac:dyDescent="0.4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</row>
    <row r="318" spans="1:26" ht="16.5" customHeight="1" x14ac:dyDescent="0.4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</row>
    <row r="319" spans="1:26" ht="16.5" customHeight="1" x14ac:dyDescent="0.4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</row>
    <row r="320" spans="1:26" ht="16.5" customHeight="1" x14ac:dyDescent="0.4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</row>
    <row r="321" spans="1:26" ht="16.5" customHeight="1" x14ac:dyDescent="0.4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</row>
    <row r="322" spans="1:26" ht="16.5" customHeight="1" x14ac:dyDescent="0.4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</row>
    <row r="323" spans="1:26" ht="16.5" customHeight="1" x14ac:dyDescent="0.4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</row>
    <row r="324" spans="1:26" ht="16.5" customHeight="1" x14ac:dyDescent="0.4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</row>
    <row r="325" spans="1:26" ht="16.5" customHeight="1" x14ac:dyDescent="0.4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</row>
    <row r="326" spans="1:26" ht="16.5" customHeight="1" x14ac:dyDescent="0.4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</row>
    <row r="327" spans="1:26" ht="16.5" customHeight="1" x14ac:dyDescent="0.4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</row>
    <row r="328" spans="1:26" ht="16.5" customHeight="1" x14ac:dyDescent="0.4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</row>
    <row r="329" spans="1:26" ht="16.5" customHeight="1" x14ac:dyDescent="0.4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</row>
    <row r="330" spans="1:26" ht="16.5" customHeight="1" x14ac:dyDescent="0.4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</row>
    <row r="331" spans="1:26" ht="16.5" customHeight="1" x14ac:dyDescent="0.4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</row>
    <row r="332" spans="1:26" ht="16.5" customHeight="1" x14ac:dyDescent="0.4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</row>
    <row r="333" spans="1:26" ht="16.5" customHeight="1" x14ac:dyDescent="0.4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</row>
    <row r="334" spans="1:26" ht="16.5" customHeight="1" x14ac:dyDescent="0.4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</row>
    <row r="335" spans="1:26" ht="16.5" customHeight="1" x14ac:dyDescent="0.4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</row>
    <row r="336" spans="1:26" ht="16.5" customHeight="1" x14ac:dyDescent="0.4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</row>
    <row r="337" spans="1:26" ht="16.5" customHeight="1" x14ac:dyDescent="0.4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</row>
    <row r="338" spans="1:26" ht="16.5" customHeight="1" x14ac:dyDescent="0.4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</row>
    <row r="339" spans="1:26" ht="16.5" customHeight="1" x14ac:dyDescent="0.4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</row>
    <row r="340" spans="1:26" ht="16.5" customHeight="1" x14ac:dyDescent="0.4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</row>
    <row r="341" spans="1:26" ht="16.5" customHeight="1" x14ac:dyDescent="0.4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</row>
    <row r="342" spans="1:26" ht="16.5" customHeight="1" x14ac:dyDescent="0.4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</row>
    <row r="343" spans="1:26" ht="16.5" customHeight="1" x14ac:dyDescent="0.4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</row>
    <row r="344" spans="1:26" ht="16.5" customHeight="1" x14ac:dyDescent="0.4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</row>
    <row r="345" spans="1:26" ht="16.5" customHeight="1" x14ac:dyDescent="0.4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</row>
    <row r="346" spans="1:26" ht="16.5" customHeight="1" x14ac:dyDescent="0.4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</row>
    <row r="347" spans="1:26" ht="16.5" customHeight="1" x14ac:dyDescent="0.4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</row>
    <row r="348" spans="1:26" ht="16.5" customHeight="1" x14ac:dyDescent="0.4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</row>
    <row r="349" spans="1:26" ht="16.5" customHeight="1" x14ac:dyDescent="0.4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</row>
    <row r="350" spans="1:26" ht="16.5" customHeight="1" x14ac:dyDescent="0.4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</row>
    <row r="351" spans="1:26" ht="16.5" customHeight="1" x14ac:dyDescent="0.4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</row>
    <row r="352" spans="1:26" ht="16.5" customHeight="1" x14ac:dyDescent="0.4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</row>
    <row r="353" spans="1:26" ht="16.5" customHeight="1" x14ac:dyDescent="0.4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</row>
    <row r="354" spans="1:26" ht="16.5" customHeight="1" x14ac:dyDescent="0.4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</row>
    <row r="355" spans="1:26" ht="16.5" customHeight="1" x14ac:dyDescent="0.4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</row>
    <row r="356" spans="1:26" ht="16.5" customHeight="1" x14ac:dyDescent="0.4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</row>
    <row r="357" spans="1:26" ht="16.5" customHeight="1" x14ac:dyDescent="0.4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</row>
    <row r="358" spans="1:26" ht="16.5" customHeight="1" x14ac:dyDescent="0.4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</row>
    <row r="359" spans="1:26" ht="16.5" customHeight="1" x14ac:dyDescent="0.4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</row>
    <row r="360" spans="1:26" ht="16.5" customHeight="1" x14ac:dyDescent="0.4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</row>
    <row r="361" spans="1:26" ht="16.5" customHeight="1" x14ac:dyDescent="0.4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</row>
    <row r="362" spans="1:26" ht="16.5" customHeight="1" x14ac:dyDescent="0.4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</row>
    <row r="363" spans="1:26" ht="16.5" customHeight="1" x14ac:dyDescent="0.4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</row>
    <row r="364" spans="1:26" ht="16.5" customHeight="1" x14ac:dyDescent="0.4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</row>
    <row r="365" spans="1:26" ht="16.5" customHeight="1" x14ac:dyDescent="0.4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</row>
    <row r="366" spans="1:26" ht="16.5" customHeight="1" x14ac:dyDescent="0.4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</row>
    <row r="367" spans="1:26" ht="16.5" customHeight="1" x14ac:dyDescent="0.4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</row>
    <row r="368" spans="1:26" ht="16.5" customHeight="1" x14ac:dyDescent="0.4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</row>
    <row r="369" spans="1:26" ht="16.5" customHeight="1" x14ac:dyDescent="0.4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</row>
    <row r="370" spans="1:26" ht="16.5" customHeight="1" x14ac:dyDescent="0.4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</row>
    <row r="371" spans="1:26" ht="16.5" customHeight="1" x14ac:dyDescent="0.4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</row>
    <row r="372" spans="1:26" ht="16.5" customHeight="1" x14ac:dyDescent="0.4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</row>
    <row r="373" spans="1:26" ht="16.5" customHeight="1" x14ac:dyDescent="0.4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</row>
    <row r="374" spans="1:26" ht="16.5" customHeight="1" x14ac:dyDescent="0.4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</row>
    <row r="375" spans="1:26" ht="16.5" customHeight="1" x14ac:dyDescent="0.4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</row>
    <row r="376" spans="1:26" ht="16.5" customHeight="1" x14ac:dyDescent="0.4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</row>
    <row r="377" spans="1:26" ht="16.5" customHeight="1" x14ac:dyDescent="0.4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</row>
    <row r="378" spans="1:26" ht="16.5" customHeight="1" x14ac:dyDescent="0.4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</row>
    <row r="379" spans="1:26" ht="16.5" customHeight="1" x14ac:dyDescent="0.4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</row>
    <row r="380" spans="1:26" ht="16.5" customHeight="1" x14ac:dyDescent="0.4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</row>
    <row r="381" spans="1:26" ht="16.5" customHeight="1" x14ac:dyDescent="0.4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</row>
    <row r="382" spans="1:26" ht="16.5" customHeight="1" x14ac:dyDescent="0.4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</row>
    <row r="383" spans="1:26" ht="16.5" customHeight="1" x14ac:dyDescent="0.4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</row>
    <row r="384" spans="1:26" ht="16.5" customHeight="1" x14ac:dyDescent="0.4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</row>
    <row r="385" spans="1:26" ht="16.5" customHeight="1" x14ac:dyDescent="0.4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</row>
    <row r="386" spans="1:26" ht="16.5" customHeight="1" x14ac:dyDescent="0.4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</row>
    <row r="387" spans="1:26" ht="16.5" customHeight="1" x14ac:dyDescent="0.4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</row>
    <row r="388" spans="1:26" ht="16.5" customHeight="1" x14ac:dyDescent="0.4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</row>
    <row r="389" spans="1:26" ht="16.5" customHeight="1" x14ac:dyDescent="0.4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</row>
    <row r="390" spans="1:26" ht="16.5" customHeight="1" x14ac:dyDescent="0.4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</row>
    <row r="391" spans="1:26" ht="16.5" customHeight="1" x14ac:dyDescent="0.4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</row>
    <row r="392" spans="1:26" ht="16.5" customHeight="1" x14ac:dyDescent="0.4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</row>
    <row r="393" spans="1:26" ht="16.5" customHeight="1" x14ac:dyDescent="0.4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</row>
    <row r="394" spans="1:26" ht="16.5" customHeight="1" x14ac:dyDescent="0.4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</row>
    <row r="395" spans="1:26" ht="16.5" customHeight="1" x14ac:dyDescent="0.4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</row>
    <row r="396" spans="1:26" ht="16.5" customHeight="1" x14ac:dyDescent="0.4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</row>
    <row r="397" spans="1:26" ht="16.5" customHeight="1" x14ac:dyDescent="0.4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</row>
    <row r="398" spans="1:26" ht="16.5" customHeight="1" x14ac:dyDescent="0.4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</row>
    <row r="399" spans="1:26" ht="16.5" customHeight="1" x14ac:dyDescent="0.4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</row>
    <row r="400" spans="1:26" ht="16.5" customHeight="1" x14ac:dyDescent="0.4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</row>
    <row r="401" spans="1:26" ht="16.5" customHeight="1" x14ac:dyDescent="0.4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</row>
    <row r="402" spans="1:26" ht="16.5" customHeight="1" x14ac:dyDescent="0.4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</row>
    <row r="403" spans="1:26" ht="16.5" customHeight="1" x14ac:dyDescent="0.4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</row>
    <row r="404" spans="1:26" ht="16.5" customHeight="1" x14ac:dyDescent="0.4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</row>
    <row r="405" spans="1:26" ht="16.5" customHeight="1" x14ac:dyDescent="0.4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</row>
    <row r="406" spans="1:26" ht="16.5" customHeight="1" x14ac:dyDescent="0.4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</row>
    <row r="407" spans="1:26" ht="16.5" customHeight="1" x14ac:dyDescent="0.4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</row>
    <row r="408" spans="1:26" ht="16.5" customHeight="1" x14ac:dyDescent="0.4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</row>
    <row r="409" spans="1:26" ht="16.5" customHeight="1" x14ac:dyDescent="0.4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</row>
    <row r="410" spans="1:26" ht="16.5" customHeight="1" x14ac:dyDescent="0.4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</row>
    <row r="411" spans="1:26" ht="16.5" customHeight="1" x14ac:dyDescent="0.4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</row>
    <row r="412" spans="1:26" ht="16.5" customHeight="1" x14ac:dyDescent="0.4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</row>
    <row r="413" spans="1:26" ht="16.5" customHeight="1" x14ac:dyDescent="0.4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</row>
    <row r="414" spans="1:26" ht="16.5" customHeight="1" x14ac:dyDescent="0.4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</row>
    <row r="415" spans="1:26" ht="16.5" customHeight="1" x14ac:dyDescent="0.4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</row>
    <row r="416" spans="1:26" ht="16.5" customHeight="1" x14ac:dyDescent="0.4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</row>
    <row r="417" spans="1:26" ht="16.5" customHeight="1" x14ac:dyDescent="0.4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</row>
    <row r="418" spans="1:26" ht="16.5" customHeight="1" x14ac:dyDescent="0.4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</row>
    <row r="419" spans="1:26" ht="16.5" customHeight="1" x14ac:dyDescent="0.4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</row>
    <row r="420" spans="1:26" ht="16.5" customHeight="1" x14ac:dyDescent="0.4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</row>
    <row r="421" spans="1:26" ht="16.5" customHeight="1" x14ac:dyDescent="0.4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</row>
    <row r="422" spans="1:26" ht="16.5" customHeight="1" x14ac:dyDescent="0.4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</row>
    <row r="423" spans="1:26" ht="16.5" customHeight="1" x14ac:dyDescent="0.4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</row>
    <row r="424" spans="1:26" ht="16.5" customHeight="1" x14ac:dyDescent="0.4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</row>
    <row r="425" spans="1:26" ht="16.5" customHeight="1" x14ac:dyDescent="0.4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</row>
    <row r="426" spans="1:26" ht="16.5" customHeight="1" x14ac:dyDescent="0.4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</row>
    <row r="427" spans="1:26" ht="16.5" customHeight="1" x14ac:dyDescent="0.4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</row>
    <row r="428" spans="1:26" ht="16.5" customHeight="1" x14ac:dyDescent="0.4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</row>
    <row r="429" spans="1:26" ht="16.5" customHeight="1" x14ac:dyDescent="0.4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</row>
    <row r="430" spans="1:26" ht="16.5" customHeight="1" x14ac:dyDescent="0.4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</row>
    <row r="431" spans="1:26" ht="16.5" customHeight="1" x14ac:dyDescent="0.4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</row>
    <row r="432" spans="1:26" ht="16.5" customHeight="1" x14ac:dyDescent="0.4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</row>
    <row r="433" spans="1:26" ht="16.5" customHeight="1" x14ac:dyDescent="0.4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</row>
    <row r="434" spans="1:26" ht="16.5" customHeight="1" x14ac:dyDescent="0.4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</row>
    <row r="435" spans="1:26" ht="16.5" customHeight="1" x14ac:dyDescent="0.4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</row>
    <row r="436" spans="1:26" ht="16.5" customHeight="1" x14ac:dyDescent="0.4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</row>
    <row r="437" spans="1:26" ht="16.5" customHeight="1" x14ac:dyDescent="0.4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</row>
    <row r="438" spans="1:26" ht="16.5" customHeight="1" x14ac:dyDescent="0.4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</row>
    <row r="439" spans="1:26" ht="16.5" customHeight="1" x14ac:dyDescent="0.4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</row>
    <row r="440" spans="1:26" ht="16.5" customHeight="1" x14ac:dyDescent="0.4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</row>
    <row r="441" spans="1:26" ht="16.5" customHeight="1" x14ac:dyDescent="0.4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</row>
    <row r="442" spans="1:26" ht="16.5" customHeight="1" x14ac:dyDescent="0.4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</row>
    <row r="443" spans="1:26" ht="16.5" customHeight="1" x14ac:dyDescent="0.4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</row>
    <row r="444" spans="1:26" ht="16.5" customHeight="1" x14ac:dyDescent="0.4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</row>
    <row r="445" spans="1:26" ht="16.5" customHeight="1" x14ac:dyDescent="0.4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</row>
    <row r="446" spans="1:26" ht="16.5" customHeight="1" x14ac:dyDescent="0.4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</row>
    <row r="447" spans="1:26" ht="16.5" customHeight="1" x14ac:dyDescent="0.4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</row>
    <row r="448" spans="1:26" ht="16.5" customHeight="1" x14ac:dyDescent="0.4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</row>
    <row r="449" spans="1:26" ht="16.5" customHeight="1" x14ac:dyDescent="0.4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</row>
    <row r="450" spans="1:26" ht="16.5" customHeight="1" x14ac:dyDescent="0.4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</row>
    <row r="451" spans="1:26" ht="16.5" customHeight="1" x14ac:dyDescent="0.4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</row>
    <row r="452" spans="1:26" ht="16.5" customHeight="1" x14ac:dyDescent="0.4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</row>
    <row r="453" spans="1:26" ht="16.5" customHeight="1" x14ac:dyDescent="0.4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</row>
    <row r="454" spans="1:26" ht="16.5" customHeight="1" x14ac:dyDescent="0.4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</row>
    <row r="455" spans="1:26" ht="16.5" customHeight="1" x14ac:dyDescent="0.4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</row>
    <row r="456" spans="1:26" ht="16.5" customHeight="1" x14ac:dyDescent="0.4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</row>
    <row r="457" spans="1:26" ht="16.5" customHeight="1" x14ac:dyDescent="0.4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</row>
    <row r="458" spans="1:26" ht="16.5" customHeight="1" x14ac:dyDescent="0.4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</row>
    <row r="459" spans="1:26" ht="16.5" customHeight="1" x14ac:dyDescent="0.4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</row>
    <row r="460" spans="1:26" ht="16.5" customHeight="1" x14ac:dyDescent="0.4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</row>
    <row r="461" spans="1:26" ht="16.5" customHeight="1" x14ac:dyDescent="0.4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</row>
    <row r="462" spans="1:26" ht="16.5" customHeight="1" x14ac:dyDescent="0.4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</row>
    <row r="463" spans="1:26" ht="16.5" customHeight="1" x14ac:dyDescent="0.4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</row>
    <row r="464" spans="1:26" ht="16.5" customHeight="1" x14ac:dyDescent="0.4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</row>
    <row r="465" spans="1:26" ht="16.5" customHeight="1" x14ac:dyDescent="0.4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</row>
    <row r="466" spans="1:26" ht="16.5" customHeight="1" x14ac:dyDescent="0.4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</row>
    <row r="467" spans="1:26" ht="16.5" customHeight="1" x14ac:dyDescent="0.4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</row>
    <row r="468" spans="1:26" ht="16.5" customHeight="1" x14ac:dyDescent="0.4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</row>
    <row r="469" spans="1:26" ht="16.5" customHeight="1" x14ac:dyDescent="0.4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</row>
    <row r="470" spans="1:26" ht="16.5" customHeight="1" x14ac:dyDescent="0.4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</row>
    <row r="471" spans="1:26" ht="16.5" customHeight="1" x14ac:dyDescent="0.4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</row>
    <row r="472" spans="1:26" ht="16.5" customHeight="1" x14ac:dyDescent="0.4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</row>
    <row r="473" spans="1:26" ht="16.5" customHeight="1" x14ac:dyDescent="0.4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</row>
    <row r="474" spans="1:26" ht="16.5" customHeight="1" x14ac:dyDescent="0.4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</row>
    <row r="475" spans="1:26" ht="16.5" customHeight="1" x14ac:dyDescent="0.4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</row>
    <row r="476" spans="1:26" ht="16.5" customHeight="1" x14ac:dyDescent="0.4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</row>
    <row r="477" spans="1:26" ht="16.5" customHeight="1" x14ac:dyDescent="0.4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</row>
    <row r="478" spans="1:26" ht="16.5" customHeight="1" x14ac:dyDescent="0.4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</row>
    <row r="479" spans="1:26" ht="16.5" customHeight="1" x14ac:dyDescent="0.4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</row>
    <row r="480" spans="1:26" ht="16.5" customHeight="1" x14ac:dyDescent="0.4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</row>
    <row r="481" spans="1:26" ht="16.5" customHeight="1" x14ac:dyDescent="0.4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</row>
    <row r="482" spans="1:26" ht="16.5" customHeight="1" x14ac:dyDescent="0.4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</row>
    <row r="483" spans="1:26" ht="16.5" customHeight="1" x14ac:dyDescent="0.4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</row>
    <row r="484" spans="1:26" ht="16.5" customHeight="1" x14ac:dyDescent="0.4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</row>
    <row r="485" spans="1:26" ht="16.5" customHeight="1" x14ac:dyDescent="0.4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</row>
    <row r="486" spans="1:26" ht="16.5" customHeight="1" x14ac:dyDescent="0.4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</row>
    <row r="487" spans="1:26" ht="16.5" customHeight="1" x14ac:dyDescent="0.4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</row>
    <row r="488" spans="1:26" ht="16.5" customHeight="1" x14ac:dyDescent="0.4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</row>
    <row r="489" spans="1:26" ht="16.5" customHeight="1" x14ac:dyDescent="0.4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</row>
    <row r="490" spans="1:26" ht="16.5" customHeight="1" x14ac:dyDescent="0.4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</row>
    <row r="491" spans="1:26" ht="16.5" customHeight="1" x14ac:dyDescent="0.4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</row>
    <row r="492" spans="1:26" ht="16.5" customHeight="1" x14ac:dyDescent="0.4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</row>
    <row r="493" spans="1:26" ht="16.5" customHeight="1" x14ac:dyDescent="0.4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</row>
    <row r="494" spans="1:26" ht="16.5" customHeight="1" x14ac:dyDescent="0.4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</row>
    <row r="495" spans="1:26" ht="16.5" customHeight="1" x14ac:dyDescent="0.4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</row>
    <row r="496" spans="1:26" ht="16.5" customHeight="1" x14ac:dyDescent="0.4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</row>
    <row r="497" spans="1:26" ht="16.5" customHeight="1" x14ac:dyDescent="0.4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</row>
    <row r="498" spans="1:26" ht="16.5" customHeight="1" x14ac:dyDescent="0.4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</row>
    <row r="499" spans="1:26" ht="16.5" customHeight="1" x14ac:dyDescent="0.4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</row>
    <row r="500" spans="1:26" ht="16.5" customHeight="1" x14ac:dyDescent="0.4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</row>
    <row r="501" spans="1:26" ht="16.5" customHeight="1" x14ac:dyDescent="0.4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</row>
    <row r="502" spans="1:26" ht="16.5" customHeight="1" x14ac:dyDescent="0.4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</row>
    <row r="503" spans="1:26" ht="16.5" customHeight="1" x14ac:dyDescent="0.4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</row>
    <row r="504" spans="1:26" ht="16.5" customHeight="1" x14ac:dyDescent="0.4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</row>
    <row r="505" spans="1:26" ht="16.5" customHeight="1" x14ac:dyDescent="0.4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</row>
    <row r="506" spans="1:26" ht="16.5" customHeight="1" x14ac:dyDescent="0.4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</row>
    <row r="507" spans="1:26" ht="16.5" customHeight="1" x14ac:dyDescent="0.4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</row>
    <row r="508" spans="1:26" ht="16.5" customHeight="1" x14ac:dyDescent="0.4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</row>
    <row r="509" spans="1:26" ht="16.5" customHeight="1" x14ac:dyDescent="0.4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</row>
    <row r="510" spans="1:26" ht="16.5" customHeight="1" x14ac:dyDescent="0.4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</row>
    <row r="511" spans="1:26" ht="16.5" customHeight="1" x14ac:dyDescent="0.4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</row>
    <row r="512" spans="1:26" ht="16.5" customHeight="1" x14ac:dyDescent="0.4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</row>
    <row r="513" spans="1:26" ht="16.5" customHeight="1" x14ac:dyDescent="0.4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</row>
    <row r="514" spans="1:26" ht="16.5" customHeight="1" x14ac:dyDescent="0.4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</row>
    <row r="515" spans="1:26" ht="16.5" customHeight="1" x14ac:dyDescent="0.4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</row>
    <row r="516" spans="1:26" ht="16.5" customHeight="1" x14ac:dyDescent="0.4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</row>
    <row r="517" spans="1:26" ht="16.5" customHeight="1" x14ac:dyDescent="0.4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</row>
    <row r="518" spans="1:26" ht="16.5" customHeight="1" x14ac:dyDescent="0.4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</row>
    <row r="519" spans="1:26" ht="16.5" customHeight="1" x14ac:dyDescent="0.4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</row>
    <row r="520" spans="1:26" ht="16.5" customHeight="1" x14ac:dyDescent="0.4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</row>
    <row r="521" spans="1:26" ht="16.5" customHeight="1" x14ac:dyDescent="0.4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</row>
    <row r="522" spans="1:26" ht="16.5" customHeight="1" x14ac:dyDescent="0.4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</row>
    <row r="523" spans="1:26" ht="16.5" customHeight="1" x14ac:dyDescent="0.4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</row>
    <row r="524" spans="1:26" ht="16.5" customHeight="1" x14ac:dyDescent="0.4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</row>
    <row r="525" spans="1:26" ht="16.5" customHeight="1" x14ac:dyDescent="0.4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</row>
    <row r="526" spans="1:26" ht="16.5" customHeight="1" x14ac:dyDescent="0.4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</row>
    <row r="527" spans="1:26" ht="16.5" customHeight="1" x14ac:dyDescent="0.4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</row>
    <row r="528" spans="1:26" ht="16.5" customHeight="1" x14ac:dyDescent="0.4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</row>
    <row r="529" spans="1:26" ht="16.5" customHeight="1" x14ac:dyDescent="0.4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</row>
    <row r="530" spans="1:26" ht="16.5" customHeight="1" x14ac:dyDescent="0.4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</row>
    <row r="531" spans="1:26" ht="16.5" customHeight="1" x14ac:dyDescent="0.4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</row>
    <row r="532" spans="1:26" ht="16.5" customHeight="1" x14ac:dyDescent="0.4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</row>
    <row r="533" spans="1:26" ht="16.5" customHeight="1" x14ac:dyDescent="0.4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</row>
    <row r="534" spans="1:26" ht="16.5" customHeight="1" x14ac:dyDescent="0.4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</row>
    <row r="535" spans="1:26" ht="16.5" customHeight="1" x14ac:dyDescent="0.4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</row>
    <row r="536" spans="1:26" ht="16.5" customHeight="1" x14ac:dyDescent="0.4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</row>
    <row r="537" spans="1:26" ht="16.5" customHeight="1" x14ac:dyDescent="0.4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</row>
    <row r="538" spans="1:26" ht="16.5" customHeight="1" x14ac:dyDescent="0.4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</row>
    <row r="539" spans="1:26" ht="16.5" customHeight="1" x14ac:dyDescent="0.4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</row>
    <row r="540" spans="1:26" ht="16.5" customHeight="1" x14ac:dyDescent="0.4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</row>
    <row r="541" spans="1:26" ht="16.5" customHeight="1" x14ac:dyDescent="0.4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</row>
    <row r="542" spans="1:26" ht="16.5" customHeight="1" x14ac:dyDescent="0.4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</row>
    <row r="543" spans="1:26" ht="16.5" customHeight="1" x14ac:dyDescent="0.4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</row>
    <row r="544" spans="1:26" ht="16.5" customHeight="1" x14ac:dyDescent="0.4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</row>
    <row r="545" spans="1:26" ht="16.5" customHeight="1" x14ac:dyDescent="0.4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</row>
    <row r="546" spans="1:26" ht="16.5" customHeight="1" x14ac:dyDescent="0.4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</row>
    <row r="547" spans="1:26" ht="16.5" customHeight="1" x14ac:dyDescent="0.4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</row>
    <row r="548" spans="1:26" ht="16.5" customHeight="1" x14ac:dyDescent="0.4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</row>
    <row r="549" spans="1:26" ht="16.5" customHeight="1" x14ac:dyDescent="0.4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</row>
    <row r="550" spans="1:26" ht="16.5" customHeight="1" x14ac:dyDescent="0.4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</row>
    <row r="551" spans="1:26" ht="16.5" customHeight="1" x14ac:dyDescent="0.4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</row>
    <row r="552" spans="1:26" ht="16.5" customHeight="1" x14ac:dyDescent="0.4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</row>
    <row r="553" spans="1:26" ht="16.5" customHeight="1" x14ac:dyDescent="0.4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</row>
    <row r="554" spans="1:26" ht="16.5" customHeight="1" x14ac:dyDescent="0.4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</row>
    <row r="555" spans="1:26" ht="16.5" customHeight="1" x14ac:dyDescent="0.4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</row>
    <row r="556" spans="1:26" ht="16.5" customHeight="1" x14ac:dyDescent="0.4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</row>
    <row r="557" spans="1:26" ht="16.5" customHeight="1" x14ac:dyDescent="0.4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</row>
    <row r="558" spans="1:26" ht="16.5" customHeight="1" x14ac:dyDescent="0.4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</row>
    <row r="559" spans="1:26" ht="16.5" customHeight="1" x14ac:dyDescent="0.4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</row>
    <row r="560" spans="1:26" ht="16.5" customHeight="1" x14ac:dyDescent="0.4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</row>
    <row r="561" spans="1:26" ht="16.5" customHeight="1" x14ac:dyDescent="0.4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</row>
    <row r="562" spans="1:26" ht="16.5" customHeight="1" x14ac:dyDescent="0.4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</row>
    <row r="563" spans="1:26" ht="16.5" customHeight="1" x14ac:dyDescent="0.4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</row>
    <row r="564" spans="1:26" ht="16.5" customHeight="1" x14ac:dyDescent="0.4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</row>
    <row r="565" spans="1:26" ht="16.5" customHeight="1" x14ac:dyDescent="0.4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</row>
    <row r="566" spans="1:26" ht="16.5" customHeight="1" x14ac:dyDescent="0.4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</row>
    <row r="567" spans="1:26" ht="16.5" customHeight="1" x14ac:dyDescent="0.4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</row>
    <row r="568" spans="1:26" ht="16.5" customHeight="1" x14ac:dyDescent="0.4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</row>
    <row r="569" spans="1:26" ht="16.5" customHeight="1" x14ac:dyDescent="0.4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</row>
    <row r="570" spans="1:26" ht="16.5" customHeight="1" x14ac:dyDescent="0.4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</row>
    <row r="571" spans="1:26" ht="16.5" customHeight="1" x14ac:dyDescent="0.4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</row>
    <row r="572" spans="1:26" ht="16.5" customHeight="1" x14ac:dyDescent="0.4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</row>
    <row r="573" spans="1:26" ht="16.5" customHeight="1" x14ac:dyDescent="0.4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</row>
    <row r="574" spans="1:26" ht="16.5" customHeight="1" x14ac:dyDescent="0.4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</row>
    <row r="575" spans="1:26" ht="16.5" customHeight="1" x14ac:dyDescent="0.4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</row>
    <row r="576" spans="1:26" ht="16.5" customHeight="1" x14ac:dyDescent="0.4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</row>
    <row r="577" spans="1:26" ht="16.5" customHeight="1" x14ac:dyDescent="0.4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</row>
    <row r="578" spans="1:26" ht="16.5" customHeight="1" x14ac:dyDescent="0.4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</row>
    <row r="579" spans="1:26" ht="16.5" customHeight="1" x14ac:dyDescent="0.4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</row>
    <row r="580" spans="1:26" ht="16.5" customHeight="1" x14ac:dyDescent="0.4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</row>
    <row r="581" spans="1:26" ht="16.5" customHeight="1" x14ac:dyDescent="0.4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</row>
    <row r="582" spans="1:26" ht="16.5" customHeight="1" x14ac:dyDescent="0.4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</row>
    <row r="583" spans="1:26" ht="16.5" customHeight="1" x14ac:dyDescent="0.4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</row>
    <row r="584" spans="1:26" ht="16.5" customHeight="1" x14ac:dyDescent="0.4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</row>
    <row r="585" spans="1:26" ht="16.5" customHeight="1" x14ac:dyDescent="0.4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</row>
    <row r="586" spans="1:26" ht="16.5" customHeight="1" x14ac:dyDescent="0.4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</row>
    <row r="587" spans="1:26" ht="16.5" customHeight="1" x14ac:dyDescent="0.4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</row>
    <row r="588" spans="1:26" ht="16.5" customHeight="1" x14ac:dyDescent="0.4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</row>
    <row r="589" spans="1:26" ht="16.5" customHeight="1" x14ac:dyDescent="0.4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</row>
    <row r="590" spans="1:26" ht="16.5" customHeight="1" x14ac:dyDescent="0.4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</row>
    <row r="591" spans="1:26" ht="16.5" customHeight="1" x14ac:dyDescent="0.4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</row>
    <row r="592" spans="1:26" ht="16.5" customHeight="1" x14ac:dyDescent="0.4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</row>
    <row r="593" spans="1:26" ht="16.5" customHeight="1" x14ac:dyDescent="0.4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</row>
    <row r="594" spans="1:26" ht="16.5" customHeight="1" x14ac:dyDescent="0.4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</row>
    <row r="595" spans="1:26" ht="16.5" customHeight="1" x14ac:dyDescent="0.4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</row>
    <row r="596" spans="1:26" ht="16.5" customHeight="1" x14ac:dyDescent="0.4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</row>
    <row r="597" spans="1:26" ht="16.5" customHeight="1" x14ac:dyDescent="0.4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</row>
    <row r="598" spans="1:26" ht="16.5" customHeight="1" x14ac:dyDescent="0.4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</row>
    <row r="599" spans="1:26" ht="16.5" customHeight="1" x14ac:dyDescent="0.4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</row>
    <row r="600" spans="1:26" ht="16.5" customHeight="1" x14ac:dyDescent="0.4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</row>
    <row r="601" spans="1:26" ht="16.5" customHeight="1" x14ac:dyDescent="0.4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</row>
    <row r="602" spans="1:26" ht="16.5" customHeight="1" x14ac:dyDescent="0.4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</row>
    <row r="603" spans="1:26" ht="16.5" customHeight="1" x14ac:dyDescent="0.4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</row>
    <row r="604" spans="1:26" ht="16.5" customHeight="1" x14ac:dyDescent="0.4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</row>
    <row r="605" spans="1:26" ht="16.5" customHeight="1" x14ac:dyDescent="0.4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</row>
    <row r="606" spans="1:26" ht="16.5" customHeight="1" x14ac:dyDescent="0.4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</row>
    <row r="607" spans="1:26" ht="16.5" customHeight="1" x14ac:dyDescent="0.4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</row>
    <row r="608" spans="1:26" ht="16.5" customHeight="1" x14ac:dyDescent="0.4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</row>
    <row r="609" spans="1:26" ht="16.5" customHeight="1" x14ac:dyDescent="0.4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</row>
    <row r="610" spans="1:26" ht="16.5" customHeight="1" x14ac:dyDescent="0.4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</row>
    <row r="611" spans="1:26" ht="16.5" customHeight="1" x14ac:dyDescent="0.4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</row>
    <row r="612" spans="1:26" ht="16.5" customHeight="1" x14ac:dyDescent="0.4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</row>
    <row r="613" spans="1:26" ht="16.5" customHeight="1" x14ac:dyDescent="0.4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</row>
    <row r="614" spans="1:26" ht="16.5" customHeight="1" x14ac:dyDescent="0.4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</row>
    <row r="615" spans="1:26" ht="16.5" customHeight="1" x14ac:dyDescent="0.4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</row>
    <row r="616" spans="1:26" ht="16.5" customHeight="1" x14ac:dyDescent="0.4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</row>
    <row r="617" spans="1:26" ht="16.5" customHeight="1" x14ac:dyDescent="0.4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</row>
    <row r="618" spans="1:26" ht="16.5" customHeight="1" x14ac:dyDescent="0.4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</row>
    <row r="619" spans="1:26" ht="16.5" customHeight="1" x14ac:dyDescent="0.4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</row>
    <row r="620" spans="1:26" ht="16.5" customHeight="1" x14ac:dyDescent="0.4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</row>
    <row r="621" spans="1:26" ht="16.5" customHeight="1" x14ac:dyDescent="0.4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</row>
    <row r="622" spans="1:26" ht="16.5" customHeight="1" x14ac:dyDescent="0.4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</row>
    <row r="623" spans="1:26" ht="16.5" customHeight="1" x14ac:dyDescent="0.4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</row>
    <row r="624" spans="1:26" ht="16.5" customHeight="1" x14ac:dyDescent="0.4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</row>
    <row r="625" spans="1:26" ht="16.5" customHeight="1" x14ac:dyDescent="0.4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</row>
    <row r="626" spans="1:26" ht="16.5" customHeight="1" x14ac:dyDescent="0.4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</row>
    <row r="627" spans="1:26" ht="16.5" customHeight="1" x14ac:dyDescent="0.4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</row>
    <row r="628" spans="1:26" ht="16.5" customHeight="1" x14ac:dyDescent="0.4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</row>
    <row r="629" spans="1:26" ht="16.5" customHeight="1" x14ac:dyDescent="0.4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</row>
    <row r="630" spans="1:26" ht="16.5" customHeight="1" x14ac:dyDescent="0.4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</row>
    <row r="631" spans="1:26" ht="16.5" customHeight="1" x14ac:dyDescent="0.4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</row>
    <row r="632" spans="1:26" ht="16.5" customHeight="1" x14ac:dyDescent="0.4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</row>
    <row r="633" spans="1:26" ht="16.5" customHeight="1" x14ac:dyDescent="0.4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</row>
    <row r="634" spans="1:26" ht="16.5" customHeight="1" x14ac:dyDescent="0.4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</row>
    <row r="635" spans="1:26" ht="16.5" customHeight="1" x14ac:dyDescent="0.4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</row>
    <row r="636" spans="1:26" ht="16.5" customHeight="1" x14ac:dyDescent="0.4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</row>
    <row r="637" spans="1:26" ht="16.5" customHeight="1" x14ac:dyDescent="0.4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</row>
    <row r="638" spans="1:26" ht="16.5" customHeight="1" x14ac:dyDescent="0.4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</row>
    <row r="639" spans="1:26" ht="16.5" customHeight="1" x14ac:dyDescent="0.4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</row>
    <row r="640" spans="1:26" ht="16.5" customHeight="1" x14ac:dyDescent="0.4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</row>
    <row r="641" spans="1:26" ht="16.5" customHeight="1" x14ac:dyDescent="0.4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</row>
    <row r="642" spans="1:26" ht="16.5" customHeight="1" x14ac:dyDescent="0.4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</row>
    <row r="643" spans="1:26" ht="16.5" customHeight="1" x14ac:dyDescent="0.4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</row>
    <row r="644" spans="1:26" ht="16.5" customHeight="1" x14ac:dyDescent="0.4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</row>
    <row r="645" spans="1:26" ht="16.5" customHeight="1" x14ac:dyDescent="0.4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</row>
    <row r="646" spans="1:26" ht="16.5" customHeight="1" x14ac:dyDescent="0.4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</row>
    <row r="647" spans="1:26" ht="16.5" customHeight="1" x14ac:dyDescent="0.4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</row>
    <row r="648" spans="1:26" ht="16.5" customHeight="1" x14ac:dyDescent="0.4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</row>
    <row r="649" spans="1:26" ht="16.5" customHeight="1" x14ac:dyDescent="0.4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</row>
    <row r="650" spans="1:26" ht="16.5" customHeight="1" x14ac:dyDescent="0.4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</row>
    <row r="651" spans="1:26" ht="16.5" customHeight="1" x14ac:dyDescent="0.4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</row>
    <row r="652" spans="1:26" ht="16.5" customHeight="1" x14ac:dyDescent="0.4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</row>
    <row r="653" spans="1:26" ht="16.5" customHeight="1" x14ac:dyDescent="0.4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</row>
    <row r="654" spans="1:26" ht="16.5" customHeight="1" x14ac:dyDescent="0.4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</row>
    <row r="655" spans="1:26" ht="16.5" customHeight="1" x14ac:dyDescent="0.4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</row>
    <row r="656" spans="1:26" ht="16.5" customHeight="1" x14ac:dyDescent="0.4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</row>
    <row r="657" spans="1:26" ht="16.5" customHeight="1" x14ac:dyDescent="0.4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</row>
    <row r="658" spans="1:26" ht="16.5" customHeight="1" x14ac:dyDescent="0.4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</row>
    <row r="659" spans="1:26" ht="16.5" customHeight="1" x14ac:dyDescent="0.4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</row>
    <row r="660" spans="1:26" ht="16.5" customHeight="1" x14ac:dyDescent="0.4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</row>
    <row r="661" spans="1:26" ht="16.5" customHeight="1" x14ac:dyDescent="0.4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</row>
    <row r="662" spans="1:26" ht="16.5" customHeight="1" x14ac:dyDescent="0.4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</row>
    <row r="663" spans="1:26" ht="16.5" customHeight="1" x14ac:dyDescent="0.4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</row>
    <row r="664" spans="1:26" ht="16.5" customHeight="1" x14ac:dyDescent="0.4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</row>
    <row r="665" spans="1:26" ht="16.5" customHeight="1" x14ac:dyDescent="0.4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</row>
    <row r="666" spans="1:26" ht="16.5" customHeight="1" x14ac:dyDescent="0.4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</row>
    <row r="667" spans="1:26" ht="16.5" customHeight="1" x14ac:dyDescent="0.4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</row>
    <row r="668" spans="1:26" ht="16.5" customHeight="1" x14ac:dyDescent="0.4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</row>
    <row r="669" spans="1:26" ht="16.5" customHeight="1" x14ac:dyDescent="0.4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</row>
    <row r="670" spans="1:26" ht="16.5" customHeight="1" x14ac:dyDescent="0.4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</row>
    <row r="671" spans="1:26" ht="16.5" customHeight="1" x14ac:dyDescent="0.4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</row>
    <row r="672" spans="1:26" ht="16.5" customHeight="1" x14ac:dyDescent="0.4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</row>
    <row r="673" spans="1:26" ht="16.5" customHeight="1" x14ac:dyDescent="0.4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</row>
    <row r="674" spans="1:26" ht="16.5" customHeight="1" x14ac:dyDescent="0.4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</row>
    <row r="675" spans="1:26" ht="16.5" customHeight="1" x14ac:dyDescent="0.4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</row>
    <row r="676" spans="1:26" ht="16.5" customHeight="1" x14ac:dyDescent="0.4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</row>
    <row r="677" spans="1:26" ht="16.5" customHeight="1" x14ac:dyDescent="0.4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</row>
    <row r="678" spans="1:26" ht="16.5" customHeight="1" x14ac:dyDescent="0.4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</row>
    <row r="679" spans="1:26" ht="16.5" customHeight="1" x14ac:dyDescent="0.4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</row>
    <row r="680" spans="1:26" ht="16.5" customHeight="1" x14ac:dyDescent="0.4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</row>
    <row r="681" spans="1:26" ht="16.5" customHeight="1" x14ac:dyDescent="0.4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</row>
    <row r="682" spans="1:26" ht="16.5" customHeight="1" x14ac:dyDescent="0.4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</row>
    <row r="683" spans="1:26" ht="16.5" customHeight="1" x14ac:dyDescent="0.4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</row>
    <row r="684" spans="1:26" ht="16.5" customHeight="1" x14ac:dyDescent="0.4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</row>
    <row r="685" spans="1:26" ht="16.5" customHeight="1" x14ac:dyDescent="0.4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</row>
    <row r="686" spans="1:26" ht="16.5" customHeight="1" x14ac:dyDescent="0.4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</row>
    <row r="687" spans="1:26" ht="16.5" customHeight="1" x14ac:dyDescent="0.4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</row>
    <row r="688" spans="1:26" ht="16.5" customHeight="1" x14ac:dyDescent="0.4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</row>
    <row r="689" spans="1:26" ht="16.5" customHeight="1" x14ac:dyDescent="0.4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</row>
    <row r="690" spans="1:26" ht="16.5" customHeight="1" x14ac:dyDescent="0.4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</row>
    <row r="691" spans="1:26" ht="16.5" customHeight="1" x14ac:dyDescent="0.4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</row>
    <row r="692" spans="1:26" ht="16.5" customHeight="1" x14ac:dyDescent="0.4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</row>
    <row r="693" spans="1:26" ht="16.5" customHeight="1" x14ac:dyDescent="0.4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</row>
    <row r="694" spans="1:26" ht="16.5" customHeight="1" x14ac:dyDescent="0.4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</row>
    <row r="695" spans="1:26" ht="16.5" customHeight="1" x14ac:dyDescent="0.4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</row>
    <row r="696" spans="1:26" ht="16.5" customHeight="1" x14ac:dyDescent="0.4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</row>
    <row r="697" spans="1:26" ht="16.5" customHeight="1" x14ac:dyDescent="0.4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</row>
    <row r="698" spans="1:26" ht="16.5" customHeight="1" x14ac:dyDescent="0.4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</row>
    <row r="699" spans="1:26" ht="16.5" customHeight="1" x14ac:dyDescent="0.4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</row>
    <row r="700" spans="1:26" ht="16.5" customHeight="1" x14ac:dyDescent="0.4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</row>
    <row r="701" spans="1:26" ht="16.5" customHeight="1" x14ac:dyDescent="0.4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</row>
    <row r="702" spans="1:26" ht="16.5" customHeight="1" x14ac:dyDescent="0.4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</row>
    <row r="703" spans="1:26" ht="16.5" customHeight="1" x14ac:dyDescent="0.4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</row>
    <row r="704" spans="1:26" ht="16.5" customHeight="1" x14ac:dyDescent="0.4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</row>
    <row r="705" spans="1:26" ht="16.5" customHeight="1" x14ac:dyDescent="0.4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</row>
    <row r="706" spans="1:26" ht="16.5" customHeight="1" x14ac:dyDescent="0.4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</row>
    <row r="707" spans="1:26" ht="16.5" customHeight="1" x14ac:dyDescent="0.4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</row>
    <row r="708" spans="1:26" ht="16.5" customHeight="1" x14ac:dyDescent="0.4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</row>
    <row r="709" spans="1:26" ht="16.5" customHeight="1" x14ac:dyDescent="0.4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</row>
    <row r="710" spans="1:26" ht="16.5" customHeight="1" x14ac:dyDescent="0.4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</row>
    <row r="711" spans="1:26" ht="16.5" customHeight="1" x14ac:dyDescent="0.4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</row>
    <row r="712" spans="1:26" ht="16.5" customHeight="1" x14ac:dyDescent="0.4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</row>
    <row r="713" spans="1:26" ht="16.5" customHeight="1" x14ac:dyDescent="0.4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</row>
    <row r="714" spans="1:26" ht="16.5" customHeight="1" x14ac:dyDescent="0.4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</row>
    <row r="715" spans="1:26" ht="16.5" customHeight="1" x14ac:dyDescent="0.4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</row>
    <row r="716" spans="1:26" ht="16.5" customHeight="1" x14ac:dyDescent="0.4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</row>
    <row r="717" spans="1:26" ht="16.5" customHeight="1" x14ac:dyDescent="0.4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</row>
    <row r="718" spans="1:26" ht="16.5" customHeight="1" x14ac:dyDescent="0.4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</row>
    <row r="719" spans="1:26" ht="16.5" customHeight="1" x14ac:dyDescent="0.4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</row>
    <row r="720" spans="1:26" ht="16.5" customHeight="1" x14ac:dyDescent="0.4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</row>
    <row r="721" spans="1:26" ht="16.5" customHeight="1" x14ac:dyDescent="0.4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</row>
    <row r="722" spans="1:26" ht="16.5" customHeight="1" x14ac:dyDescent="0.4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</row>
    <row r="723" spans="1:26" ht="16.5" customHeight="1" x14ac:dyDescent="0.4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</row>
    <row r="724" spans="1:26" ht="16.5" customHeight="1" x14ac:dyDescent="0.4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</row>
    <row r="725" spans="1:26" ht="16.5" customHeight="1" x14ac:dyDescent="0.4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</row>
    <row r="726" spans="1:26" ht="16.5" customHeight="1" x14ac:dyDescent="0.4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</row>
    <row r="727" spans="1:26" ht="16.5" customHeight="1" x14ac:dyDescent="0.4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</row>
    <row r="728" spans="1:26" ht="16.5" customHeight="1" x14ac:dyDescent="0.4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</row>
    <row r="729" spans="1:26" ht="16.5" customHeight="1" x14ac:dyDescent="0.4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</row>
    <row r="730" spans="1:26" ht="16.5" customHeight="1" x14ac:dyDescent="0.4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</row>
    <row r="731" spans="1:26" ht="16.5" customHeight="1" x14ac:dyDescent="0.4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</row>
    <row r="732" spans="1:26" ht="16.5" customHeight="1" x14ac:dyDescent="0.4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</row>
    <row r="733" spans="1:26" ht="16.5" customHeight="1" x14ac:dyDescent="0.4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</row>
    <row r="734" spans="1:26" ht="16.5" customHeight="1" x14ac:dyDescent="0.4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</row>
    <row r="735" spans="1:26" ht="16.5" customHeight="1" x14ac:dyDescent="0.4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</row>
    <row r="736" spans="1:26" ht="16.5" customHeight="1" x14ac:dyDescent="0.4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</row>
    <row r="737" spans="1:26" ht="16.5" customHeight="1" x14ac:dyDescent="0.4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</row>
    <row r="738" spans="1:26" ht="16.5" customHeight="1" x14ac:dyDescent="0.4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</row>
    <row r="739" spans="1:26" ht="16.5" customHeight="1" x14ac:dyDescent="0.4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</row>
    <row r="740" spans="1:26" ht="16.5" customHeight="1" x14ac:dyDescent="0.4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</row>
    <row r="741" spans="1:26" ht="16.5" customHeight="1" x14ac:dyDescent="0.4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</row>
    <row r="742" spans="1:26" ht="16.5" customHeight="1" x14ac:dyDescent="0.4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</row>
    <row r="743" spans="1:26" ht="16.5" customHeight="1" x14ac:dyDescent="0.4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</row>
    <row r="744" spans="1:26" ht="16.5" customHeight="1" x14ac:dyDescent="0.4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</row>
    <row r="745" spans="1:26" ht="16.5" customHeight="1" x14ac:dyDescent="0.4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</row>
    <row r="746" spans="1:26" ht="16.5" customHeight="1" x14ac:dyDescent="0.4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</row>
    <row r="747" spans="1:26" ht="16.5" customHeight="1" x14ac:dyDescent="0.4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</row>
    <row r="748" spans="1:26" ht="16.5" customHeight="1" x14ac:dyDescent="0.4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</row>
    <row r="749" spans="1:26" ht="16.5" customHeight="1" x14ac:dyDescent="0.4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</row>
    <row r="750" spans="1:26" ht="16.5" customHeight="1" x14ac:dyDescent="0.4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</row>
    <row r="751" spans="1:26" ht="16.5" customHeight="1" x14ac:dyDescent="0.4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</row>
    <row r="752" spans="1:26" ht="16.5" customHeight="1" x14ac:dyDescent="0.4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</row>
    <row r="753" spans="1:26" ht="16.5" customHeight="1" x14ac:dyDescent="0.4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</row>
    <row r="754" spans="1:26" ht="16.5" customHeight="1" x14ac:dyDescent="0.4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</row>
    <row r="755" spans="1:26" ht="16.5" customHeight="1" x14ac:dyDescent="0.4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</row>
    <row r="756" spans="1:26" ht="16.5" customHeight="1" x14ac:dyDescent="0.4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</row>
    <row r="757" spans="1:26" ht="16.5" customHeight="1" x14ac:dyDescent="0.4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</row>
    <row r="758" spans="1:26" ht="16.5" customHeight="1" x14ac:dyDescent="0.4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</row>
    <row r="759" spans="1:26" ht="16.5" customHeight="1" x14ac:dyDescent="0.4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</row>
    <row r="760" spans="1:26" ht="16.5" customHeight="1" x14ac:dyDescent="0.4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</row>
    <row r="761" spans="1:26" ht="16.5" customHeight="1" x14ac:dyDescent="0.4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</row>
    <row r="762" spans="1:26" ht="16.5" customHeight="1" x14ac:dyDescent="0.4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</row>
    <row r="763" spans="1:26" ht="16.5" customHeight="1" x14ac:dyDescent="0.4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</row>
    <row r="764" spans="1:26" ht="16.5" customHeight="1" x14ac:dyDescent="0.4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</row>
    <row r="765" spans="1:26" ht="16.5" customHeight="1" x14ac:dyDescent="0.4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</row>
    <row r="766" spans="1:26" ht="16.5" customHeight="1" x14ac:dyDescent="0.4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</row>
    <row r="767" spans="1:26" ht="16.5" customHeight="1" x14ac:dyDescent="0.4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</row>
    <row r="768" spans="1:26" ht="16.5" customHeight="1" x14ac:dyDescent="0.4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</row>
    <row r="769" spans="1:26" ht="16.5" customHeight="1" x14ac:dyDescent="0.4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</row>
    <row r="770" spans="1:26" ht="16.5" customHeight="1" x14ac:dyDescent="0.4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</row>
    <row r="771" spans="1:26" ht="16.5" customHeight="1" x14ac:dyDescent="0.4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</row>
    <row r="772" spans="1:26" ht="16.5" customHeight="1" x14ac:dyDescent="0.4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</row>
    <row r="773" spans="1:26" ht="16.5" customHeight="1" x14ac:dyDescent="0.4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</row>
    <row r="774" spans="1:26" ht="16.5" customHeight="1" x14ac:dyDescent="0.4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</row>
    <row r="775" spans="1:26" ht="16.5" customHeight="1" x14ac:dyDescent="0.4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</row>
    <row r="776" spans="1:26" ht="16.5" customHeight="1" x14ac:dyDescent="0.4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</row>
    <row r="777" spans="1:26" ht="16.5" customHeight="1" x14ac:dyDescent="0.4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</row>
    <row r="778" spans="1:26" ht="16.5" customHeight="1" x14ac:dyDescent="0.4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</row>
    <row r="779" spans="1:26" ht="16.5" customHeight="1" x14ac:dyDescent="0.4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</row>
    <row r="780" spans="1:26" ht="16.5" customHeight="1" x14ac:dyDescent="0.4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</row>
    <row r="781" spans="1:26" ht="16.5" customHeight="1" x14ac:dyDescent="0.4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</row>
    <row r="782" spans="1:26" ht="16.5" customHeight="1" x14ac:dyDescent="0.4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</row>
    <row r="783" spans="1:26" ht="16.5" customHeight="1" x14ac:dyDescent="0.4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</row>
    <row r="784" spans="1:26" ht="16.5" customHeight="1" x14ac:dyDescent="0.4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</row>
    <row r="785" spans="1:26" ht="16.5" customHeight="1" x14ac:dyDescent="0.4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</row>
    <row r="786" spans="1:26" ht="16.5" customHeight="1" x14ac:dyDescent="0.4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</row>
    <row r="787" spans="1:26" ht="16.5" customHeight="1" x14ac:dyDescent="0.4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</row>
    <row r="788" spans="1:26" ht="16.5" customHeight="1" x14ac:dyDescent="0.4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</row>
    <row r="789" spans="1:26" ht="16.5" customHeight="1" x14ac:dyDescent="0.4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</row>
    <row r="790" spans="1:26" ht="16.5" customHeight="1" x14ac:dyDescent="0.4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</row>
    <row r="791" spans="1:26" ht="16.5" customHeight="1" x14ac:dyDescent="0.4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</row>
    <row r="792" spans="1:26" ht="16.5" customHeight="1" x14ac:dyDescent="0.4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</row>
    <row r="793" spans="1:26" ht="16.5" customHeight="1" x14ac:dyDescent="0.4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</row>
    <row r="794" spans="1:26" ht="16.5" customHeight="1" x14ac:dyDescent="0.4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</row>
    <row r="795" spans="1:26" ht="16.5" customHeight="1" x14ac:dyDescent="0.4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</row>
    <row r="796" spans="1:26" ht="16.5" customHeight="1" x14ac:dyDescent="0.4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</row>
    <row r="797" spans="1:26" ht="16.5" customHeight="1" x14ac:dyDescent="0.4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</row>
    <row r="798" spans="1:26" ht="16.5" customHeight="1" x14ac:dyDescent="0.4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</row>
    <row r="799" spans="1:26" ht="16.5" customHeight="1" x14ac:dyDescent="0.4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</row>
    <row r="800" spans="1:26" ht="16.5" customHeight="1" x14ac:dyDescent="0.4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</row>
    <row r="801" spans="1:26" ht="16.5" customHeight="1" x14ac:dyDescent="0.4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</row>
    <row r="802" spans="1:26" ht="16.5" customHeight="1" x14ac:dyDescent="0.4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</row>
    <row r="803" spans="1:26" ht="16.5" customHeight="1" x14ac:dyDescent="0.4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</row>
    <row r="804" spans="1:26" ht="16.5" customHeight="1" x14ac:dyDescent="0.4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</row>
    <row r="805" spans="1:26" ht="16.5" customHeight="1" x14ac:dyDescent="0.4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</row>
    <row r="806" spans="1:26" ht="16.5" customHeight="1" x14ac:dyDescent="0.4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</row>
    <row r="807" spans="1:26" ht="16.5" customHeight="1" x14ac:dyDescent="0.4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</row>
    <row r="808" spans="1:26" ht="16.5" customHeight="1" x14ac:dyDescent="0.4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</row>
    <row r="809" spans="1:26" ht="16.5" customHeight="1" x14ac:dyDescent="0.4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</row>
    <row r="810" spans="1:26" ht="16.5" customHeight="1" x14ac:dyDescent="0.4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</row>
    <row r="811" spans="1:26" ht="16.5" customHeight="1" x14ac:dyDescent="0.4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</row>
    <row r="812" spans="1:26" ht="16.5" customHeight="1" x14ac:dyDescent="0.4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</row>
    <row r="813" spans="1:26" ht="16.5" customHeight="1" x14ac:dyDescent="0.4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</row>
    <row r="814" spans="1:26" ht="16.5" customHeight="1" x14ac:dyDescent="0.4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</row>
    <row r="815" spans="1:26" ht="16.5" customHeight="1" x14ac:dyDescent="0.4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</row>
    <row r="816" spans="1:26" ht="16.5" customHeight="1" x14ac:dyDescent="0.4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</row>
    <row r="817" spans="1:26" ht="16.5" customHeight="1" x14ac:dyDescent="0.4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</row>
    <row r="818" spans="1:26" ht="16.5" customHeight="1" x14ac:dyDescent="0.4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</row>
    <row r="819" spans="1:26" ht="16.5" customHeight="1" x14ac:dyDescent="0.4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</row>
    <row r="820" spans="1:26" ht="16.5" customHeight="1" x14ac:dyDescent="0.4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</row>
    <row r="821" spans="1:26" ht="16.5" customHeight="1" x14ac:dyDescent="0.4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</row>
    <row r="822" spans="1:26" ht="16.5" customHeight="1" x14ac:dyDescent="0.4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</row>
    <row r="823" spans="1:26" ht="16.5" customHeight="1" x14ac:dyDescent="0.4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</row>
    <row r="824" spans="1:26" ht="16.5" customHeight="1" x14ac:dyDescent="0.4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</row>
    <row r="825" spans="1:26" ht="16.5" customHeight="1" x14ac:dyDescent="0.4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</row>
    <row r="826" spans="1:26" ht="16.5" customHeight="1" x14ac:dyDescent="0.4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</row>
    <row r="827" spans="1:26" ht="16.5" customHeight="1" x14ac:dyDescent="0.4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</row>
    <row r="828" spans="1:26" ht="16.5" customHeight="1" x14ac:dyDescent="0.4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</row>
    <row r="829" spans="1:26" ht="16.5" customHeight="1" x14ac:dyDescent="0.4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</row>
    <row r="830" spans="1:26" ht="16.5" customHeight="1" x14ac:dyDescent="0.4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</row>
    <row r="831" spans="1:26" ht="16.5" customHeight="1" x14ac:dyDescent="0.4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</row>
    <row r="832" spans="1:26" ht="16.5" customHeight="1" x14ac:dyDescent="0.4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</row>
    <row r="833" spans="1:26" ht="16.5" customHeight="1" x14ac:dyDescent="0.4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</row>
    <row r="834" spans="1:26" ht="16.5" customHeight="1" x14ac:dyDescent="0.4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</row>
    <row r="835" spans="1:26" ht="16.5" customHeight="1" x14ac:dyDescent="0.4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</row>
    <row r="836" spans="1:26" ht="16.5" customHeight="1" x14ac:dyDescent="0.4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</row>
    <row r="837" spans="1:26" ht="16.5" customHeight="1" x14ac:dyDescent="0.4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</row>
    <row r="838" spans="1:26" ht="16.5" customHeight="1" x14ac:dyDescent="0.4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</row>
    <row r="839" spans="1:26" ht="16.5" customHeight="1" x14ac:dyDescent="0.4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</row>
    <row r="840" spans="1:26" ht="16.5" customHeight="1" x14ac:dyDescent="0.4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</row>
    <row r="841" spans="1:26" ht="16.5" customHeight="1" x14ac:dyDescent="0.4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</row>
    <row r="842" spans="1:26" ht="16.5" customHeight="1" x14ac:dyDescent="0.4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</row>
    <row r="843" spans="1:26" ht="16.5" customHeight="1" x14ac:dyDescent="0.4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</row>
    <row r="844" spans="1:26" ht="16.5" customHeight="1" x14ac:dyDescent="0.4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</row>
    <row r="845" spans="1:26" ht="16.5" customHeight="1" x14ac:dyDescent="0.4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</row>
    <row r="846" spans="1:26" ht="16.5" customHeight="1" x14ac:dyDescent="0.4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</row>
    <row r="847" spans="1:26" ht="16.5" customHeight="1" x14ac:dyDescent="0.4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</row>
    <row r="848" spans="1:26" ht="16.5" customHeight="1" x14ac:dyDescent="0.4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</row>
    <row r="849" spans="1:26" ht="16.5" customHeight="1" x14ac:dyDescent="0.4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</row>
    <row r="850" spans="1:26" ht="16.5" customHeight="1" x14ac:dyDescent="0.4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</row>
    <row r="851" spans="1:26" ht="16.5" customHeight="1" x14ac:dyDescent="0.4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</row>
    <row r="852" spans="1:26" ht="16.5" customHeight="1" x14ac:dyDescent="0.4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</row>
    <row r="853" spans="1:26" ht="16.5" customHeight="1" x14ac:dyDescent="0.4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</row>
    <row r="854" spans="1:26" ht="16.5" customHeight="1" x14ac:dyDescent="0.4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</row>
    <row r="855" spans="1:26" ht="16.5" customHeight="1" x14ac:dyDescent="0.4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</row>
    <row r="856" spans="1:26" ht="16.5" customHeight="1" x14ac:dyDescent="0.4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</row>
    <row r="857" spans="1:26" ht="16.5" customHeight="1" x14ac:dyDescent="0.4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</row>
    <row r="858" spans="1:26" ht="16.5" customHeight="1" x14ac:dyDescent="0.4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</row>
    <row r="859" spans="1:26" ht="16.5" customHeight="1" x14ac:dyDescent="0.4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</row>
    <row r="860" spans="1:26" ht="16.5" customHeight="1" x14ac:dyDescent="0.4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</row>
    <row r="861" spans="1:26" ht="16.5" customHeight="1" x14ac:dyDescent="0.4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</row>
    <row r="862" spans="1:26" ht="16.5" customHeight="1" x14ac:dyDescent="0.4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</row>
    <row r="863" spans="1:26" ht="16.5" customHeight="1" x14ac:dyDescent="0.4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</row>
    <row r="864" spans="1:26" ht="16.5" customHeight="1" x14ac:dyDescent="0.4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</row>
    <row r="865" spans="1:26" ht="16.5" customHeight="1" x14ac:dyDescent="0.4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</row>
    <row r="866" spans="1:26" ht="16.5" customHeight="1" x14ac:dyDescent="0.4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</row>
    <row r="867" spans="1:26" ht="16.5" customHeight="1" x14ac:dyDescent="0.4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</row>
    <row r="868" spans="1:26" ht="16.5" customHeight="1" x14ac:dyDescent="0.4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</row>
    <row r="869" spans="1:26" ht="16.5" customHeight="1" x14ac:dyDescent="0.4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</row>
    <row r="870" spans="1:26" ht="16.5" customHeight="1" x14ac:dyDescent="0.4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</row>
    <row r="871" spans="1:26" ht="16.5" customHeight="1" x14ac:dyDescent="0.4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</row>
    <row r="872" spans="1:26" ht="16.5" customHeight="1" x14ac:dyDescent="0.4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</row>
    <row r="873" spans="1:26" ht="16.5" customHeight="1" x14ac:dyDescent="0.4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</row>
    <row r="874" spans="1:26" ht="16.5" customHeight="1" x14ac:dyDescent="0.4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</row>
    <row r="875" spans="1:26" ht="16.5" customHeight="1" x14ac:dyDescent="0.4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</row>
    <row r="876" spans="1:26" ht="16.5" customHeight="1" x14ac:dyDescent="0.4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</row>
    <row r="877" spans="1:26" ht="16.5" customHeight="1" x14ac:dyDescent="0.4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</row>
    <row r="878" spans="1:26" ht="16.5" customHeight="1" x14ac:dyDescent="0.4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</row>
    <row r="879" spans="1:26" ht="16.5" customHeight="1" x14ac:dyDescent="0.4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</row>
    <row r="880" spans="1:26" ht="16.5" customHeight="1" x14ac:dyDescent="0.4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</row>
    <row r="881" spans="1:26" ht="16.5" customHeight="1" x14ac:dyDescent="0.4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</row>
    <row r="882" spans="1:26" ht="16.5" customHeight="1" x14ac:dyDescent="0.4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</row>
    <row r="883" spans="1:26" ht="16.5" customHeight="1" x14ac:dyDescent="0.4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</row>
    <row r="884" spans="1:26" ht="16.5" customHeight="1" x14ac:dyDescent="0.4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</row>
    <row r="885" spans="1:26" ht="16.5" customHeight="1" x14ac:dyDescent="0.4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</row>
    <row r="886" spans="1:26" ht="16.5" customHeight="1" x14ac:dyDescent="0.4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</row>
    <row r="887" spans="1:26" ht="16.5" customHeight="1" x14ac:dyDescent="0.4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</row>
    <row r="888" spans="1:26" ht="16.5" customHeight="1" x14ac:dyDescent="0.4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</row>
    <row r="889" spans="1:26" ht="16.5" customHeight="1" x14ac:dyDescent="0.4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</row>
    <row r="890" spans="1:26" ht="16.5" customHeight="1" x14ac:dyDescent="0.4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</row>
    <row r="891" spans="1:26" ht="16.5" customHeight="1" x14ac:dyDescent="0.4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</row>
    <row r="892" spans="1:26" ht="16.5" customHeight="1" x14ac:dyDescent="0.4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</row>
    <row r="893" spans="1:26" ht="16.5" customHeight="1" x14ac:dyDescent="0.4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</row>
    <row r="894" spans="1:26" ht="16.5" customHeight="1" x14ac:dyDescent="0.4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</row>
    <row r="895" spans="1:26" ht="16.5" customHeight="1" x14ac:dyDescent="0.4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</row>
    <row r="896" spans="1:26" ht="16.5" customHeight="1" x14ac:dyDescent="0.4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</row>
    <row r="897" spans="1:26" ht="16.5" customHeight="1" x14ac:dyDescent="0.4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</row>
    <row r="898" spans="1:26" ht="16.5" customHeight="1" x14ac:dyDescent="0.4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</row>
    <row r="899" spans="1:26" ht="16.5" customHeight="1" x14ac:dyDescent="0.4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</row>
    <row r="900" spans="1:26" ht="16.5" customHeight="1" x14ac:dyDescent="0.4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</row>
    <row r="901" spans="1:26" ht="16.5" customHeight="1" x14ac:dyDescent="0.4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</row>
    <row r="902" spans="1:26" ht="16.5" customHeight="1" x14ac:dyDescent="0.4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</row>
    <row r="903" spans="1:26" ht="16.5" customHeight="1" x14ac:dyDescent="0.4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</row>
    <row r="904" spans="1:26" ht="16.5" customHeight="1" x14ac:dyDescent="0.4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</row>
    <row r="905" spans="1:26" ht="16.5" customHeight="1" x14ac:dyDescent="0.4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</row>
    <row r="906" spans="1:26" ht="16.5" customHeight="1" x14ac:dyDescent="0.4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</row>
    <row r="907" spans="1:26" ht="16.5" customHeight="1" x14ac:dyDescent="0.4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</row>
    <row r="908" spans="1:26" ht="16.5" customHeight="1" x14ac:dyDescent="0.4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</row>
    <row r="909" spans="1:26" ht="16.5" customHeight="1" x14ac:dyDescent="0.4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</row>
    <row r="910" spans="1:26" ht="16.5" customHeight="1" x14ac:dyDescent="0.4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</row>
    <row r="911" spans="1:26" ht="16.5" customHeight="1" x14ac:dyDescent="0.4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</row>
    <row r="912" spans="1:26" ht="16.5" customHeight="1" x14ac:dyDescent="0.4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</row>
    <row r="913" spans="1:26" ht="16.5" customHeight="1" x14ac:dyDescent="0.4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</row>
    <row r="914" spans="1:26" ht="16.5" customHeight="1" x14ac:dyDescent="0.4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</row>
    <row r="915" spans="1:26" ht="16.5" customHeight="1" x14ac:dyDescent="0.4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</row>
    <row r="916" spans="1:26" ht="16.5" customHeight="1" x14ac:dyDescent="0.4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</row>
    <row r="917" spans="1:26" ht="16.5" customHeight="1" x14ac:dyDescent="0.4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</row>
    <row r="918" spans="1:26" ht="16.5" customHeight="1" x14ac:dyDescent="0.4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</row>
    <row r="919" spans="1:26" ht="16.5" customHeight="1" x14ac:dyDescent="0.4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</row>
    <row r="920" spans="1:26" ht="16.5" customHeight="1" x14ac:dyDescent="0.4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</row>
    <row r="921" spans="1:26" ht="16.5" customHeight="1" x14ac:dyDescent="0.4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</row>
    <row r="922" spans="1:26" ht="16.5" customHeight="1" x14ac:dyDescent="0.4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</row>
    <row r="923" spans="1:26" ht="16.5" customHeight="1" x14ac:dyDescent="0.4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</row>
    <row r="924" spans="1:26" ht="16.5" customHeight="1" x14ac:dyDescent="0.4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</row>
    <row r="925" spans="1:26" ht="16.5" customHeight="1" x14ac:dyDescent="0.4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</row>
    <row r="926" spans="1:26" ht="16.5" customHeight="1" x14ac:dyDescent="0.4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</row>
    <row r="927" spans="1:26" ht="16.5" customHeight="1" x14ac:dyDescent="0.4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</row>
    <row r="928" spans="1:26" ht="16.5" customHeight="1" x14ac:dyDescent="0.4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</row>
    <row r="929" spans="1:26" ht="16.5" customHeight="1" x14ac:dyDescent="0.4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</row>
    <row r="930" spans="1:26" ht="16.5" customHeight="1" x14ac:dyDescent="0.4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</row>
    <row r="931" spans="1:26" ht="16.5" customHeight="1" x14ac:dyDescent="0.4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</row>
    <row r="932" spans="1:26" ht="16.5" customHeight="1" x14ac:dyDescent="0.4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</row>
    <row r="933" spans="1:26" ht="16.5" customHeight="1" x14ac:dyDescent="0.4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</row>
    <row r="934" spans="1:26" ht="16.5" customHeight="1" x14ac:dyDescent="0.4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</row>
    <row r="935" spans="1:26" ht="16.5" customHeight="1" x14ac:dyDescent="0.4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</row>
    <row r="936" spans="1:26" ht="16.5" customHeight="1" x14ac:dyDescent="0.4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</row>
    <row r="937" spans="1:26" ht="16.5" customHeight="1" x14ac:dyDescent="0.4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</row>
    <row r="938" spans="1:26" ht="16.5" customHeight="1" x14ac:dyDescent="0.4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</row>
    <row r="939" spans="1:26" ht="16.5" customHeight="1" x14ac:dyDescent="0.4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</row>
    <row r="940" spans="1:26" ht="16.5" customHeight="1" x14ac:dyDescent="0.4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</row>
    <row r="941" spans="1:26" ht="16.5" customHeight="1" x14ac:dyDescent="0.4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</row>
    <row r="942" spans="1:26" ht="16.5" customHeight="1" x14ac:dyDescent="0.4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</row>
    <row r="943" spans="1:26" ht="16.5" customHeight="1" x14ac:dyDescent="0.4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</row>
    <row r="944" spans="1:26" ht="16.5" customHeight="1" x14ac:dyDescent="0.4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</row>
    <row r="945" spans="1:26" ht="16.5" customHeight="1" x14ac:dyDescent="0.4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</row>
    <row r="946" spans="1:26" ht="16.5" customHeight="1" x14ac:dyDescent="0.4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</row>
    <row r="947" spans="1:26" ht="16.5" customHeight="1" x14ac:dyDescent="0.4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</row>
    <row r="948" spans="1:26" ht="16.5" customHeight="1" x14ac:dyDescent="0.4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</row>
    <row r="949" spans="1:26" ht="16.5" customHeight="1" x14ac:dyDescent="0.4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</row>
    <row r="950" spans="1:26" ht="16.5" customHeight="1" x14ac:dyDescent="0.4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</row>
    <row r="951" spans="1:26" ht="16.5" customHeight="1" x14ac:dyDescent="0.4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</row>
    <row r="952" spans="1:26" ht="16.5" customHeight="1" x14ac:dyDescent="0.4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</row>
    <row r="953" spans="1:26" ht="16.5" customHeight="1" x14ac:dyDescent="0.4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</row>
    <row r="954" spans="1:26" ht="16.5" customHeight="1" x14ac:dyDescent="0.4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</row>
    <row r="955" spans="1:26" ht="16.5" customHeight="1" x14ac:dyDescent="0.4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</row>
    <row r="956" spans="1:26" ht="16.5" customHeight="1" x14ac:dyDescent="0.4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</row>
    <row r="957" spans="1:26" ht="16.5" customHeight="1" x14ac:dyDescent="0.4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</row>
    <row r="958" spans="1:26" ht="16.5" customHeight="1" x14ac:dyDescent="0.4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</row>
    <row r="959" spans="1:26" ht="16.5" customHeight="1" x14ac:dyDescent="0.4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</row>
    <row r="960" spans="1:26" ht="16.5" customHeight="1" x14ac:dyDescent="0.4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</row>
    <row r="961" spans="1:26" ht="16.5" customHeight="1" x14ac:dyDescent="0.4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</row>
    <row r="962" spans="1:26" ht="16.5" customHeight="1" x14ac:dyDescent="0.4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</row>
    <row r="963" spans="1:26" ht="16.5" customHeight="1" x14ac:dyDescent="0.4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</row>
    <row r="964" spans="1:26" ht="16.5" customHeight="1" x14ac:dyDescent="0.4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</row>
    <row r="965" spans="1:26" ht="16.5" customHeight="1" x14ac:dyDescent="0.4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</row>
    <row r="966" spans="1:26" ht="16.5" customHeight="1" x14ac:dyDescent="0.4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</row>
    <row r="967" spans="1:26" ht="16.5" customHeight="1" x14ac:dyDescent="0.4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</row>
    <row r="968" spans="1:26" ht="16.5" customHeight="1" x14ac:dyDescent="0.4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</row>
    <row r="969" spans="1:26" ht="16.5" customHeight="1" x14ac:dyDescent="0.4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</row>
    <row r="970" spans="1:26" ht="16.5" customHeight="1" x14ac:dyDescent="0.4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</row>
    <row r="971" spans="1:26" ht="16.5" customHeight="1" x14ac:dyDescent="0.4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</row>
    <row r="972" spans="1:26" ht="16.5" customHeight="1" x14ac:dyDescent="0.4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</row>
    <row r="973" spans="1:26" ht="16.5" customHeight="1" x14ac:dyDescent="0.4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</row>
    <row r="974" spans="1:26" ht="16.5" customHeight="1" x14ac:dyDescent="0.4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</row>
    <row r="975" spans="1:26" ht="16.5" customHeight="1" x14ac:dyDescent="0.4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</row>
    <row r="976" spans="1:26" ht="16.5" customHeight="1" x14ac:dyDescent="0.4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</row>
    <row r="977" spans="1:26" ht="16.5" customHeight="1" x14ac:dyDescent="0.4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</row>
    <row r="978" spans="1:26" ht="16.5" customHeight="1" x14ac:dyDescent="0.4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</row>
    <row r="979" spans="1:26" ht="16.5" customHeight="1" x14ac:dyDescent="0.4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</row>
    <row r="980" spans="1:26" ht="16.5" customHeight="1" x14ac:dyDescent="0.4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</row>
    <row r="981" spans="1:26" ht="16.5" customHeight="1" x14ac:dyDescent="0.4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</row>
    <row r="982" spans="1:26" ht="16.5" customHeight="1" x14ac:dyDescent="0.4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</row>
    <row r="983" spans="1:26" ht="16.5" customHeight="1" x14ac:dyDescent="0.4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</row>
    <row r="984" spans="1:26" ht="16.5" customHeight="1" x14ac:dyDescent="0.4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</row>
    <row r="985" spans="1:26" ht="16.5" customHeight="1" x14ac:dyDescent="0.4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</row>
    <row r="986" spans="1:26" ht="16.5" customHeight="1" x14ac:dyDescent="0.4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</row>
    <row r="987" spans="1:26" ht="16.5" customHeight="1" x14ac:dyDescent="0.4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</row>
    <row r="988" spans="1:26" ht="16.5" customHeight="1" x14ac:dyDescent="0.4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</row>
    <row r="989" spans="1:26" ht="16.5" customHeight="1" x14ac:dyDescent="0.4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</row>
    <row r="990" spans="1:26" ht="16.5" customHeight="1" x14ac:dyDescent="0.4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</row>
    <row r="991" spans="1:26" ht="16.5" customHeight="1" x14ac:dyDescent="0.4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</row>
    <row r="992" spans="1:26" ht="16.5" customHeight="1" x14ac:dyDescent="0.4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</row>
    <row r="993" spans="1:26" ht="16.5" customHeight="1" x14ac:dyDescent="0.4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</row>
    <row r="994" spans="1:26" ht="16.5" customHeight="1" x14ac:dyDescent="0.4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</row>
    <row r="995" spans="1:26" ht="16.5" customHeight="1" x14ac:dyDescent="0.4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</row>
    <row r="996" spans="1:26" ht="16.5" customHeight="1" x14ac:dyDescent="0.4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</row>
    <row r="997" spans="1:26" ht="16.5" customHeight="1" x14ac:dyDescent="0.4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</row>
    <row r="998" spans="1:26" ht="16.5" customHeight="1" x14ac:dyDescent="0.4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</row>
    <row r="999" spans="1:26" ht="16.5" customHeight="1" x14ac:dyDescent="0.4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</row>
    <row r="1000" spans="1:26" ht="16.5" customHeight="1" x14ac:dyDescent="0.4">
      <c r="A1000" s="1"/>
      <c r="B1000" s="1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</row>
  </sheetData>
  <mergeCells count="60">
    <mergeCell ref="C66:E66"/>
    <mergeCell ref="C69:E69"/>
    <mergeCell ref="C70:E70"/>
    <mergeCell ref="C56:E56"/>
    <mergeCell ref="C57:E57"/>
    <mergeCell ref="C61:E61"/>
    <mergeCell ref="C62:E62"/>
    <mergeCell ref="C65:E65"/>
    <mergeCell ref="B49:D49"/>
    <mergeCell ref="C50:D50"/>
    <mergeCell ref="C51:D51"/>
    <mergeCell ref="C52:D52"/>
    <mergeCell ref="C55:E55"/>
    <mergeCell ref="C42:E42"/>
    <mergeCell ref="C43:E43"/>
    <mergeCell ref="C46:D46"/>
    <mergeCell ref="C47:D47"/>
    <mergeCell ref="C48:D48"/>
    <mergeCell ref="C33:E33"/>
    <mergeCell ref="C34:E34"/>
    <mergeCell ref="C35:E35"/>
    <mergeCell ref="C36:E36"/>
    <mergeCell ref="C37:E37"/>
    <mergeCell ref="C25:E25"/>
    <mergeCell ref="C26:E26"/>
    <mergeCell ref="C30:E30"/>
    <mergeCell ref="C31:E31"/>
    <mergeCell ref="C32:E32"/>
    <mergeCell ref="B17:F17"/>
    <mergeCell ref="B20:E20"/>
    <mergeCell ref="B22:F22"/>
    <mergeCell ref="D23:F23"/>
    <mergeCell ref="D24:F24"/>
    <mergeCell ref="C11:E11"/>
    <mergeCell ref="D12:F12"/>
    <mergeCell ref="C13:E13"/>
    <mergeCell ref="C14:E14"/>
    <mergeCell ref="C15:E15"/>
    <mergeCell ref="D7:E7"/>
    <mergeCell ref="B7:C7"/>
    <mergeCell ref="B8:C8"/>
    <mergeCell ref="D8:E8"/>
    <mergeCell ref="B10:F10"/>
    <mergeCell ref="B1:F1"/>
    <mergeCell ref="B2:D2"/>
    <mergeCell ref="B4:F4"/>
    <mergeCell ref="B5:F5"/>
    <mergeCell ref="B6:C6"/>
    <mergeCell ref="D6:F6"/>
    <mergeCell ref="C79:E79"/>
    <mergeCell ref="C80:E80"/>
    <mergeCell ref="C81:E81"/>
    <mergeCell ref="B84:F84"/>
    <mergeCell ref="C71:E71"/>
    <mergeCell ref="C72:E72"/>
    <mergeCell ref="C73:E73"/>
    <mergeCell ref="B75:F75"/>
    <mergeCell ref="C76:E76"/>
    <mergeCell ref="C77:E77"/>
    <mergeCell ref="C78:E78"/>
  </mergeCells>
  <dataValidations count="15">
    <dataValidation type="decimal" allowBlank="1" showInputMessage="1" prompt="Erro na inserção de dados. - O percentual recomendado de lucro é de 5,57%, conforme estudos realizados pela Auditoria Interna do MPU." sqref="F78" xr:uid="{00000000-0002-0000-0000-000000000000}">
      <formula1>0</formula1>
      <formula2>5.57</formula2>
    </dataValidation>
    <dataValidation type="list" allowBlank="1" showErrorMessage="1" sqref="F13" xr:uid="{00000000-0002-0000-0000-000001000000}">
      <formula1>"AC,AL,AP,AM,BA,CE,DF,ES,GO,MA,MG,MS,MT,PA,PB,PR,PE,PI,RJ,RN,RO,RR,RS,SC,SP,SE,TO"</formula1>
    </dataValidation>
    <dataValidation type="decimal" allowBlank="1" showInputMessage="1" prompt="Erro na inserção de dados. - O percentual recomendado de custos indiretos é de 4,73%, conforme estudos realizados pela Auditoria Interna do MPU." sqref="F77" xr:uid="{00000000-0002-0000-0000-000002000000}">
      <formula1>0</formula1>
      <formula2>4.73</formula2>
    </dataValidation>
    <dataValidation type="list" allowBlank="1" showInputMessage="1" prompt="Atenção! - Se a resposta for &quot;Sim&quot;, deverá ser incluído o percentual do PAT na coluna ao lado. Caso seja &quot;Não&quot;, não há necessidade." sqref="E49" xr:uid="{00000000-0002-0000-0000-000003000000}">
      <formula1>"Sim,Não"</formula1>
    </dataValidation>
    <dataValidation type="decimal" operator="greaterThanOrEqual" allowBlank="1" showInputMessage="1" showErrorMessage="1" prompt="Intervalo Intrajornada - Segundo estudos da Audin-MPU, esse item não é usual nas planilhas do MPU. Verifique se realmente há necessidade de incluí-lo." sqref="F56" xr:uid="{00000000-0002-0000-0000-000004000000}">
      <formula1>50</formula1>
    </dataValidation>
    <dataValidation type="decimal" operator="greaterThanOrEqual" allowBlank="1" showInputMessage="1" prompt="Atentar para o valor do salário. - Tem certeza que o valor do salário-base é menor do que o salário mínimo vigente no país?" sqref="F31" xr:uid="{00000000-0002-0000-0000-000005000000}">
      <formula1>F26</formula1>
    </dataValidation>
    <dataValidation type="decimal" allowBlank="1" showInputMessage="1" showErrorMessage="1" prompt="Erro na inserção de dados - O FAP é um multiplicador, atualmente calculado por estabelecimento, que varia de 0,5000 a 2,0000, conforme previsto no art. 10 da Lei nº 10.666/03." sqref="F43" xr:uid="{00000000-0002-0000-0000-000006000000}">
      <formula1>0.5</formula1>
      <formula2>2</formula2>
    </dataValidation>
    <dataValidation type="decimal" operator="equal" allowBlank="1" showInputMessage="1" prompt="Intervalo Intrajornada - Segundo estudos da Audin-MPU, esse item não é usual nas planilhas do MPU. Verifique se realmente há necessidade de incluí-lo." sqref="F66" xr:uid="{00000000-0002-0000-0000-000007000000}">
      <formula1>0</formula1>
    </dataValidation>
    <dataValidation type="decimal" allowBlank="1" showInputMessage="1" showErrorMessage="1" prompt="Erro na inserção de dados. - O percentual de ISS deve estar entre 2 e 5%, conforme o inciso I do artigo 8º e o caput do art. 8º-A da Lei Complementar nº 116/2003." sqref="F81" xr:uid="{00000000-0002-0000-0000-000008000000}">
      <formula1>2</formula1>
      <formula2>5</formula2>
    </dataValidation>
    <dataValidation type="list" allowBlank="1" showInputMessage="1" showErrorMessage="1" prompt="Erro na inserção de dados. - De acordo com o art. 192 da CLT, estão previstos somente os percentuais de 40% (máximo), 20% (médio) ou 10% (mínimo), conforme for a exposição ao risco." sqref="F34" xr:uid="{00000000-0002-0000-0000-000009000000}">
      <formula1>"0,10,20,40"</formula1>
    </dataValidation>
    <dataValidation type="decimal" operator="equal" allowBlank="1" showInputMessage="1" prompt="Atentar para o percentual. - Tem certeza que o percentual do Cofins é diferente de 3%, previsto no art. 31 da Lei nº 10.833/2003?" sqref="F80" xr:uid="{00000000-0002-0000-0000-00000A000000}">
      <formula1>3</formula1>
    </dataValidation>
    <dataValidation type="list" allowBlank="1" showInputMessage="1" prompt="Atentar para a base de cálculo. - Tem certeza que o adicional de insalubridade tem como base de cálculo o salário normativo previsto na CCT?" sqref="F20" xr:uid="{00000000-0002-0000-0000-00000B000000}">
      <formula1>"CCT,Salário Mínimo"</formula1>
    </dataValidation>
    <dataValidation type="decimal" allowBlank="1" showInputMessage="1" prompt="Intervalo Intrajornada - Segundo estudos da Audin-MPU, esse item não é usual nas planilhas do MPU. Verifique se realmente há necessidade de incluí-lo." sqref="F57" xr:uid="{00000000-0002-0000-0000-00000C000000}">
      <formula1>30</formula1>
      <formula2>60</formula2>
    </dataValidation>
    <dataValidation type="decimal" operator="equal" allowBlank="1" showInputMessage="1" prompt="Atentar para o percentual. - Tem certeza que o percentual do PIS é diferente de 0,65%, previsto no art. 31 da Lei nº 10.833/2003?" sqref="F79" xr:uid="{00000000-0002-0000-0000-00000D000000}">
      <formula1>0.65</formula1>
    </dataValidation>
    <dataValidation type="decimal" operator="lessThanOrEqual" allowBlank="1" showInputMessage="1" showErrorMessage="1" prompt="Erro na inserção de dados. - O percentual máximo de desconto para empresas que aderem ao Programa de Assistência ao Trabalhador (PAT) é de 20%, conforme o disposto no art. 645, § 2º, do Decreto nº 9.580/18." sqref="F49" xr:uid="{00000000-0002-0000-0000-00000E000000}">
      <formula1>20</formula1>
    </dataValidation>
  </dataValidations>
  <pageMargins left="0.17" right="0.17" top="0.46" bottom="1.06" header="0" footer="0"/>
  <pageSetup paperSize="9" orientation="portrait"/>
  <legacy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Z1000"/>
  <sheetViews>
    <sheetView workbookViewId="0">
      <selection activeCell="F21" sqref="F21"/>
    </sheetView>
  </sheetViews>
  <sheetFormatPr defaultColWidth="12.5546875" defaultRowHeight="15" customHeight="1" x14ac:dyDescent="0.35"/>
  <cols>
    <col min="1" max="1" width="2.6640625" style="2" customWidth="1"/>
    <col min="2" max="2" width="8.88671875" style="2" customWidth="1"/>
    <col min="3" max="3" width="52.5546875" style="2" customWidth="1"/>
    <col min="4" max="4" width="9.5546875" style="2" customWidth="1"/>
    <col min="5" max="5" width="13.5546875" style="2" customWidth="1"/>
    <col min="6" max="6" width="15.44140625" style="2" customWidth="1"/>
    <col min="7" max="26" width="9.109375" style="2" customWidth="1"/>
    <col min="27" max="16384" width="12.5546875" style="2"/>
  </cols>
  <sheetData>
    <row r="1" spans="1:26" ht="24.6" x14ac:dyDescent="0.55000000000000004">
      <c r="A1" s="5"/>
      <c r="B1" s="63" t="s">
        <v>96</v>
      </c>
      <c r="C1" s="1"/>
      <c r="D1" s="1"/>
      <c r="E1" s="1"/>
      <c r="F1" s="1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  <c r="X1" s="5"/>
      <c r="Y1" s="5"/>
      <c r="Z1" s="5"/>
    </row>
    <row r="2" spans="1:26" ht="16.5" customHeight="1" x14ac:dyDescent="0.4">
      <c r="A2" s="1"/>
      <c r="B2" s="22" t="s">
        <v>34</v>
      </c>
      <c r="C2" s="1"/>
      <c r="D2" s="1"/>
      <c r="E2" s="23"/>
      <c r="F2" s="23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ht="16.5" customHeight="1" x14ac:dyDescent="0.4">
      <c r="A3" s="1"/>
      <c r="B3" s="9">
        <v>1</v>
      </c>
      <c r="C3" s="110" t="s">
        <v>35</v>
      </c>
      <c r="D3" s="109"/>
      <c r="E3" s="107"/>
      <c r="F3" s="24" t="s">
        <v>97</v>
      </c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ht="16.5" customHeight="1" x14ac:dyDescent="0.4">
      <c r="A4" s="1"/>
      <c r="B4" s="9" t="s">
        <v>19</v>
      </c>
      <c r="C4" s="111" t="s">
        <v>98</v>
      </c>
      <c r="D4" s="109"/>
      <c r="E4" s="107"/>
      <c r="F4" s="69">
        <v>220</v>
      </c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</row>
    <row r="5" spans="1:26" ht="16.5" customHeight="1" x14ac:dyDescent="0.4">
      <c r="A5" s="1"/>
      <c r="B5" s="9" t="s">
        <v>42</v>
      </c>
      <c r="C5" s="115" t="s">
        <v>99</v>
      </c>
      <c r="D5" s="109"/>
      <c r="E5" s="107"/>
      <c r="F5" s="70">
        <v>7</v>
      </c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</row>
    <row r="6" spans="1:26" ht="16.5" customHeight="1" x14ac:dyDescent="0.4">
      <c r="A6" s="1"/>
      <c r="B6" s="9" t="s">
        <v>44</v>
      </c>
      <c r="C6" s="111" t="s">
        <v>100</v>
      </c>
      <c r="D6" s="109"/>
      <c r="E6" s="107"/>
      <c r="F6" s="69">
        <v>365</v>
      </c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</row>
    <row r="7" spans="1:26" ht="16.5" customHeight="1" x14ac:dyDescent="0.4">
      <c r="A7" s="1"/>
      <c r="B7" s="9" t="s">
        <v>101</v>
      </c>
      <c r="C7" s="115" t="s">
        <v>102</v>
      </c>
      <c r="D7" s="109"/>
      <c r="E7" s="107"/>
      <c r="F7" s="71">
        <v>15.2</v>
      </c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</row>
    <row r="8" spans="1:26" ht="16.5" customHeight="1" x14ac:dyDescent="0.4">
      <c r="A8" s="1"/>
      <c r="B8" s="9" t="s">
        <v>103</v>
      </c>
      <c r="C8" s="111" t="s">
        <v>104</v>
      </c>
      <c r="D8" s="109"/>
      <c r="E8" s="107"/>
      <c r="F8" s="69">
        <v>12</v>
      </c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</row>
    <row r="9" spans="1:26" ht="16.5" customHeight="1" x14ac:dyDescent="0.4">
      <c r="A9" s="1"/>
      <c r="B9" s="9" t="s">
        <v>105</v>
      </c>
      <c r="C9" s="115" t="s">
        <v>106</v>
      </c>
      <c r="D9" s="109"/>
      <c r="E9" s="107"/>
      <c r="F9" s="70">
        <v>60</v>
      </c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</row>
    <row r="10" spans="1:26" ht="16.5" customHeight="1" x14ac:dyDescent="0.4">
      <c r="A10" s="1"/>
      <c r="B10" s="9" t="s">
        <v>107</v>
      </c>
      <c r="C10" s="111" t="s">
        <v>108</v>
      </c>
      <c r="D10" s="109"/>
      <c r="E10" s="107"/>
      <c r="F10" s="72">
        <v>52.5</v>
      </c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</row>
    <row r="11" spans="1:26" ht="16.5" customHeight="1" x14ac:dyDescent="0.4">
      <c r="A11" s="36"/>
      <c r="B11" s="36"/>
      <c r="C11" s="36"/>
      <c r="D11" s="36"/>
      <c r="E11" s="36"/>
      <c r="F11" s="36"/>
      <c r="G11" s="36"/>
      <c r="H11" s="36"/>
      <c r="I11" s="36"/>
      <c r="J11" s="36"/>
      <c r="K11" s="36"/>
      <c r="L11" s="36"/>
      <c r="M11" s="36"/>
      <c r="N11" s="36"/>
      <c r="O11" s="36"/>
      <c r="P11" s="36"/>
      <c r="Q11" s="36"/>
      <c r="R11" s="36"/>
      <c r="S11" s="36"/>
      <c r="T11" s="36"/>
      <c r="U11" s="36"/>
      <c r="V11" s="36"/>
      <c r="W11" s="36"/>
      <c r="X11" s="36"/>
      <c r="Y11" s="36"/>
      <c r="Z11" s="36"/>
    </row>
    <row r="12" spans="1:26" ht="16.5" customHeight="1" x14ac:dyDescent="0.4">
      <c r="A12" s="1"/>
      <c r="B12" s="22" t="s">
        <v>52</v>
      </c>
      <c r="C12" s="5"/>
      <c r="D12" s="5"/>
      <c r="E12" s="5"/>
      <c r="F12" s="5"/>
      <c r="G12" s="36"/>
      <c r="H12" s="36"/>
      <c r="I12" s="36"/>
      <c r="J12" s="36"/>
      <c r="K12" s="36"/>
      <c r="L12" s="36"/>
      <c r="M12" s="36"/>
      <c r="N12" s="36"/>
      <c r="O12" s="36"/>
      <c r="P12" s="36"/>
      <c r="Q12" s="36"/>
      <c r="R12" s="36"/>
      <c r="S12" s="36"/>
      <c r="T12" s="36"/>
      <c r="U12" s="36"/>
      <c r="V12" s="36"/>
      <c r="W12" s="36"/>
      <c r="X12" s="36"/>
      <c r="Y12" s="36"/>
      <c r="Z12" s="36"/>
    </row>
    <row r="13" spans="1:26" ht="15" customHeight="1" x14ac:dyDescent="0.4">
      <c r="A13" s="1"/>
      <c r="B13" s="9" t="s">
        <v>53</v>
      </c>
      <c r="C13" s="110" t="s">
        <v>54</v>
      </c>
      <c r="D13" s="107"/>
      <c r="E13" s="24" t="s">
        <v>109</v>
      </c>
      <c r="F13" s="24" t="s">
        <v>73</v>
      </c>
      <c r="G13" s="36"/>
      <c r="H13" s="36"/>
      <c r="I13" s="36"/>
      <c r="J13" s="36"/>
      <c r="K13" s="36"/>
      <c r="L13" s="36"/>
      <c r="M13" s="36"/>
      <c r="N13" s="36"/>
      <c r="O13" s="36"/>
      <c r="P13" s="36"/>
      <c r="Q13" s="36"/>
      <c r="R13" s="36"/>
      <c r="S13" s="36"/>
      <c r="T13" s="36"/>
      <c r="U13" s="36"/>
      <c r="V13" s="36"/>
      <c r="W13" s="36"/>
      <c r="X13" s="36"/>
      <c r="Y13" s="36"/>
      <c r="Z13" s="36"/>
    </row>
    <row r="14" spans="1:26" ht="16.5" customHeight="1" x14ac:dyDescent="0.4">
      <c r="A14" s="36"/>
      <c r="B14" s="66" t="s">
        <v>11</v>
      </c>
      <c r="C14" s="127" t="s">
        <v>110</v>
      </c>
      <c r="D14" s="107"/>
      <c r="E14" s="13" t="s">
        <v>111</v>
      </c>
      <c r="F14" s="73">
        <v>6</v>
      </c>
      <c r="G14" s="36"/>
      <c r="H14" s="36"/>
      <c r="I14" s="36"/>
      <c r="J14" s="36"/>
      <c r="K14" s="36"/>
      <c r="L14" s="36"/>
      <c r="M14" s="36"/>
      <c r="N14" s="36"/>
      <c r="O14" s="36"/>
      <c r="P14" s="36"/>
      <c r="Q14" s="36"/>
      <c r="R14" s="36"/>
      <c r="S14" s="36"/>
      <c r="T14" s="36"/>
      <c r="U14" s="36"/>
      <c r="V14" s="36"/>
      <c r="W14" s="36"/>
      <c r="X14" s="36"/>
      <c r="Y14" s="36"/>
      <c r="Z14" s="36"/>
    </row>
    <row r="15" spans="1:26" ht="16.5" customHeight="1" x14ac:dyDescent="0.4">
      <c r="A15" s="36"/>
      <c r="B15" s="66" t="s">
        <v>13</v>
      </c>
      <c r="C15" s="129" t="s">
        <v>112</v>
      </c>
      <c r="D15" s="107"/>
      <c r="E15" s="12" t="s">
        <v>111</v>
      </c>
      <c r="F15" s="74">
        <v>15</v>
      </c>
      <c r="G15" s="36"/>
      <c r="H15" s="36"/>
      <c r="I15" s="36"/>
      <c r="J15" s="36"/>
      <c r="K15" s="36"/>
      <c r="L15" s="36"/>
      <c r="M15" s="36"/>
      <c r="N15" s="36"/>
      <c r="O15" s="36"/>
      <c r="P15" s="36"/>
      <c r="Q15" s="36"/>
      <c r="R15" s="36"/>
      <c r="S15" s="36"/>
      <c r="T15" s="36"/>
      <c r="U15" s="36"/>
      <c r="V15" s="36"/>
      <c r="W15" s="36"/>
      <c r="X15" s="36"/>
      <c r="Y15" s="36"/>
      <c r="Z15" s="36"/>
    </row>
    <row r="16" spans="1:26" ht="16.5" customHeight="1" x14ac:dyDescent="0.4">
      <c r="A16" s="36"/>
      <c r="B16" s="66" t="s">
        <v>15</v>
      </c>
      <c r="C16" s="127" t="s">
        <v>113</v>
      </c>
      <c r="D16" s="107"/>
      <c r="E16" s="13" t="s">
        <v>111</v>
      </c>
      <c r="F16" s="73">
        <v>21</v>
      </c>
      <c r="G16" s="36"/>
      <c r="H16" s="36"/>
      <c r="I16" s="36"/>
      <c r="J16" s="36"/>
      <c r="K16" s="36"/>
      <c r="L16" s="36"/>
      <c r="M16" s="36"/>
      <c r="N16" s="36"/>
      <c r="O16" s="36"/>
      <c r="P16" s="36"/>
      <c r="Q16" s="36"/>
      <c r="R16" s="36"/>
      <c r="S16" s="36"/>
      <c r="T16" s="36"/>
      <c r="U16" s="36"/>
      <c r="V16" s="36"/>
      <c r="W16" s="36"/>
      <c r="X16" s="36"/>
      <c r="Y16" s="36"/>
      <c r="Z16" s="36"/>
    </row>
    <row r="17" spans="1:26" ht="16.5" customHeight="1" x14ac:dyDescent="0.4">
      <c r="A17" s="36"/>
      <c r="B17" s="36"/>
      <c r="C17" s="36"/>
      <c r="D17" s="36"/>
      <c r="E17" s="36"/>
      <c r="F17" s="36"/>
      <c r="G17" s="36"/>
      <c r="H17" s="36"/>
      <c r="I17" s="36"/>
      <c r="J17" s="36"/>
      <c r="K17" s="36"/>
      <c r="L17" s="36"/>
      <c r="M17" s="36"/>
      <c r="N17" s="36"/>
      <c r="O17" s="36"/>
      <c r="P17" s="36"/>
      <c r="Q17" s="36"/>
      <c r="R17" s="36"/>
      <c r="S17" s="36"/>
      <c r="T17" s="36"/>
      <c r="U17" s="36"/>
      <c r="V17" s="36"/>
      <c r="W17" s="36"/>
      <c r="X17" s="36"/>
      <c r="Y17" s="36"/>
      <c r="Z17" s="36"/>
    </row>
    <row r="18" spans="1:26" ht="16.5" customHeight="1" x14ac:dyDescent="0.4">
      <c r="A18" s="36"/>
      <c r="B18" s="22" t="s">
        <v>114</v>
      </c>
      <c r="C18" s="29"/>
      <c r="D18" s="30"/>
      <c r="E18" s="31"/>
      <c r="F18" s="31"/>
      <c r="G18" s="5"/>
      <c r="H18" s="5"/>
      <c r="I18" s="5"/>
      <c r="J18" s="5"/>
      <c r="K18" s="5"/>
      <c r="L18" s="5"/>
      <c r="M18" s="5"/>
      <c r="N18" s="5"/>
      <c r="O18" s="5"/>
      <c r="P18" s="5"/>
      <c r="Q18" s="5"/>
      <c r="R18" s="5"/>
      <c r="S18" s="5"/>
      <c r="T18" s="5"/>
      <c r="U18" s="5"/>
      <c r="V18" s="5"/>
      <c r="W18" s="5"/>
      <c r="X18" s="5"/>
      <c r="Y18" s="5"/>
      <c r="Z18" s="5"/>
    </row>
    <row r="19" spans="1:26" ht="16.5" customHeight="1" x14ac:dyDescent="0.4">
      <c r="A19" s="36"/>
      <c r="B19" s="9">
        <v>3</v>
      </c>
      <c r="C19" s="108" t="s">
        <v>115</v>
      </c>
      <c r="D19" s="109"/>
      <c r="E19" s="107"/>
      <c r="F19" s="24" t="s">
        <v>116</v>
      </c>
      <c r="G19" s="5"/>
      <c r="H19" s="5"/>
      <c r="I19" s="5"/>
      <c r="J19" s="5"/>
      <c r="K19" s="5"/>
      <c r="L19" s="5"/>
      <c r="M19" s="5"/>
      <c r="N19" s="5"/>
      <c r="O19" s="5"/>
      <c r="P19" s="5"/>
      <c r="Q19" s="5"/>
      <c r="R19" s="5"/>
      <c r="S19" s="5"/>
      <c r="T19" s="5"/>
      <c r="U19" s="5"/>
      <c r="V19" s="5"/>
      <c r="W19" s="5"/>
      <c r="X19" s="5"/>
      <c r="Y19" s="5"/>
      <c r="Z19" s="5"/>
    </row>
    <row r="20" spans="1:26" ht="16.5" customHeight="1" x14ac:dyDescent="0.4">
      <c r="A20" s="36"/>
      <c r="B20" s="9" t="s">
        <v>11</v>
      </c>
      <c r="C20" s="111" t="s">
        <v>117</v>
      </c>
      <c r="D20" s="109"/>
      <c r="E20" s="107"/>
      <c r="F20" s="75">
        <v>62.93</v>
      </c>
      <c r="G20" s="5"/>
      <c r="H20" s="5"/>
      <c r="I20" s="5"/>
      <c r="J20" s="5"/>
      <c r="K20" s="5"/>
      <c r="L20" s="5"/>
      <c r="M20" s="5"/>
      <c r="N20" s="5"/>
      <c r="O20" s="5"/>
      <c r="P20" s="5"/>
      <c r="Q20" s="5"/>
      <c r="R20" s="5"/>
      <c r="S20" s="5"/>
      <c r="T20" s="5"/>
      <c r="U20" s="5"/>
      <c r="V20" s="5"/>
      <c r="W20" s="5"/>
      <c r="X20" s="5"/>
      <c r="Y20" s="5"/>
      <c r="Z20" s="5"/>
    </row>
    <row r="21" spans="1:26" ht="16.5" customHeight="1" x14ac:dyDescent="0.4">
      <c r="A21" s="36"/>
      <c r="B21" s="24" t="s">
        <v>13</v>
      </c>
      <c r="C21" s="112" t="s">
        <v>118</v>
      </c>
      <c r="D21" s="109"/>
      <c r="E21" s="107"/>
      <c r="F21" s="76">
        <v>5.55</v>
      </c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</row>
    <row r="22" spans="1:26" ht="15.75" customHeight="1" x14ac:dyDescent="0.35">
      <c r="A22" s="5"/>
      <c r="B22" s="24" t="s">
        <v>15</v>
      </c>
      <c r="C22" s="111" t="s">
        <v>119</v>
      </c>
      <c r="D22" s="109"/>
      <c r="E22" s="107"/>
      <c r="F22" s="73">
        <v>40</v>
      </c>
      <c r="G22" s="5"/>
      <c r="H22" s="5"/>
      <c r="I22" s="5"/>
      <c r="J22" s="5"/>
      <c r="K22" s="5"/>
      <c r="L22" s="5"/>
      <c r="M22" s="5"/>
      <c r="N22" s="5"/>
      <c r="O22" s="5"/>
      <c r="P22" s="5"/>
      <c r="Q22" s="5"/>
      <c r="R22" s="5"/>
      <c r="S22" s="5"/>
      <c r="T22" s="5"/>
      <c r="U22" s="5"/>
      <c r="V22" s="5"/>
      <c r="W22" s="5"/>
      <c r="X22" s="5"/>
      <c r="Y22" s="5"/>
      <c r="Z22" s="5"/>
    </row>
    <row r="23" spans="1:26" ht="16.5" customHeight="1" x14ac:dyDescent="0.4">
      <c r="A23" s="36"/>
      <c r="B23" s="24" t="s">
        <v>17</v>
      </c>
      <c r="C23" s="112" t="s">
        <v>120</v>
      </c>
      <c r="D23" s="109"/>
      <c r="E23" s="107"/>
      <c r="F23" s="76">
        <v>94.45</v>
      </c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</row>
    <row r="24" spans="1:26" ht="16.5" customHeight="1" x14ac:dyDescent="0.4">
      <c r="A24" s="36"/>
      <c r="B24" s="24" t="s">
        <v>19</v>
      </c>
      <c r="C24" s="111" t="s">
        <v>121</v>
      </c>
      <c r="D24" s="109"/>
      <c r="E24" s="107"/>
      <c r="F24" s="73">
        <v>30</v>
      </c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</row>
    <row r="25" spans="1:26" ht="16.5" customHeight="1" x14ac:dyDescent="0.4">
      <c r="A25" s="36"/>
      <c r="B25" s="36"/>
      <c r="C25" s="36"/>
      <c r="D25" s="36"/>
      <c r="E25" s="36"/>
      <c r="F25" s="36"/>
      <c r="G25" s="36"/>
      <c r="H25" s="36"/>
      <c r="I25" s="36"/>
      <c r="J25" s="36"/>
      <c r="K25" s="36"/>
      <c r="L25" s="36"/>
      <c r="M25" s="36"/>
      <c r="N25" s="36"/>
      <c r="O25" s="36"/>
      <c r="P25" s="36"/>
      <c r="Q25" s="36"/>
      <c r="R25" s="36"/>
      <c r="S25" s="36"/>
      <c r="T25" s="36"/>
      <c r="U25" s="36"/>
      <c r="V25" s="36"/>
      <c r="W25" s="36"/>
      <c r="X25" s="36"/>
      <c r="Y25" s="36"/>
      <c r="Z25" s="36"/>
    </row>
    <row r="26" spans="1:26" ht="16.5" customHeight="1" x14ac:dyDescent="0.4">
      <c r="A26" s="5"/>
      <c r="B26" s="22" t="s">
        <v>69</v>
      </c>
      <c r="C26" s="29"/>
      <c r="D26" s="30"/>
      <c r="E26" s="1"/>
      <c r="F26" s="1"/>
      <c r="G26" s="5"/>
      <c r="H26" s="5"/>
      <c r="I26" s="5"/>
      <c r="J26" s="5"/>
      <c r="K26" s="5"/>
      <c r="L26" s="5"/>
      <c r="M26" s="5"/>
      <c r="N26" s="5"/>
      <c r="O26" s="5"/>
      <c r="P26" s="5"/>
      <c r="Q26" s="5"/>
      <c r="R26" s="5"/>
      <c r="S26" s="5"/>
      <c r="T26" s="5"/>
      <c r="U26" s="5"/>
      <c r="V26" s="5"/>
      <c r="W26" s="5"/>
      <c r="X26" s="5"/>
      <c r="Y26" s="5"/>
      <c r="Z26" s="5"/>
    </row>
    <row r="27" spans="1:26" ht="15" customHeight="1" x14ac:dyDescent="0.4">
      <c r="A27" s="5"/>
      <c r="B27" s="22" t="s">
        <v>70</v>
      </c>
      <c r="C27" s="29"/>
      <c r="D27" s="30"/>
      <c r="E27" s="31"/>
      <c r="F27" s="31"/>
      <c r="G27" s="5"/>
      <c r="H27" s="5"/>
      <c r="I27" s="5"/>
      <c r="J27" s="5"/>
      <c r="K27" s="5"/>
      <c r="L27" s="5"/>
      <c r="M27" s="5"/>
      <c r="N27" s="5"/>
      <c r="O27" s="5"/>
      <c r="P27" s="5"/>
      <c r="Q27" s="5"/>
      <c r="R27" s="5"/>
      <c r="S27" s="5"/>
      <c r="T27" s="5"/>
      <c r="U27" s="5"/>
      <c r="V27" s="5"/>
      <c r="W27" s="5"/>
      <c r="X27" s="5"/>
      <c r="Y27" s="5"/>
      <c r="Z27" s="5"/>
    </row>
    <row r="28" spans="1:26" ht="16.5" customHeight="1" x14ac:dyDescent="0.35">
      <c r="A28" s="5"/>
      <c r="B28" s="9" t="s">
        <v>71</v>
      </c>
      <c r="C28" s="110" t="s">
        <v>72</v>
      </c>
      <c r="D28" s="109"/>
      <c r="E28" s="107"/>
      <c r="F28" s="24" t="s">
        <v>116</v>
      </c>
      <c r="G28" s="5"/>
      <c r="H28" s="5"/>
      <c r="I28" s="5"/>
      <c r="J28" s="5"/>
      <c r="K28" s="5"/>
      <c r="L28" s="5"/>
      <c r="M28" s="5"/>
      <c r="N28" s="5"/>
      <c r="O28" s="5"/>
      <c r="P28" s="5"/>
      <c r="Q28" s="5"/>
      <c r="R28" s="5"/>
      <c r="S28" s="5"/>
      <c r="T28" s="5"/>
      <c r="U28" s="5"/>
      <c r="V28" s="5"/>
      <c r="W28" s="5"/>
      <c r="X28" s="5"/>
      <c r="Y28" s="5"/>
      <c r="Z28" s="5"/>
    </row>
    <row r="29" spans="1:26" ht="16.5" customHeight="1" x14ac:dyDescent="0.35">
      <c r="A29" s="5"/>
      <c r="B29" s="9" t="s">
        <v>11</v>
      </c>
      <c r="C29" s="111" t="s">
        <v>122</v>
      </c>
      <c r="D29" s="109"/>
      <c r="E29" s="107"/>
      <c r="F29" s="73">
        <v>8</v>
      </c>
      <c r="G29" s="5"/>
      <c r="H29" s="5"/>
      <c r="I29" s="5"/>
      <c r="J29" s="5"/>
      <c r="K29" s="5"/>
      <c r="L29" s="5"/>
      <c r="M29" s="5"/>
      <c r="N29" s="5"/>
      <c r="O29" s="5"/>
      <c r="P29" s="5"/>
      <c r="Q29" s="5"/>
      <c r="R29" s="5"/>
      <c r="S29" s="5"/>
      <c r="T29" s="5"/>
      <c r="U29" s="5"/>
      <c r="V29" s="5"/>
      <c r="W29" s="5"/>
      <c r="X29" s="5"/>
      <c r="Y29" s="5"/>
      <c r="Z29" s="5"/>
    </row>
    <row r="30" spans="1:26" ht="16.5" customHeight="1" x14ac:dyDescent="0.4">
      <c r="A30" s="5"/>
      <c r="B30" s="24" t="s">
        <v>13</v>
      </c>
      <c r="C30" s="106" t="s">
        <v>123</v>
      </c>
      <c r="D30" s="109"/>
      <c r="E30" s="107"/>
      <c r="F30" s="74">
        <v>5</v>
      </c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</row>
    <row r="31" spans="1:26" ht="16.5" customHeight="1" x14ac:dyDescent="0.4">
      <c r="A31" s="5"/>
      <c r="B31" s="24" t="s">
        <v>15</v>
      </c>
      <c r="C31" s="111" t="s">
        <v>124</v>
      </c>
      <c r="D31" s="109"/>
      <c r="E31" s="107"/>
      <c r="F31" s="75">
        <v>1.42</v>
      </c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</row>
    <row r="32" spans="1:26" ht="16.5" customHeight="1" x14ac:dyDescent="0.4">
      <c r="A32" s="5"/>
      <c r="B32" s="24" t="s">
        <v>17</v>
      </c>
      <c r="C32" s="106" t="s">
        <v>125</v>
      </c>
      <c r="D32" s="109"/>
      <c r="E32" s="107"/>
      <c r="F32" s="76">
        <v>86.46</v>
      </c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</row>
    <row r="33" spans="1:26" ht="15.75" customHeight="1" x14ac:dyDescent="0.4">
      <c r="A33" s="1"/>
      <c r="B33" s="24" t="s">
        <v>19</v>
      </c>
      <c r="C33" s="111" t="s">
        <v>126</v>
      </c>
      <c r="D33" s="109"/>
      <c r="E33" s="107"/>
      <c r="F33" s="75">
        <f>(154800/34808000)*100</f>
        <v>0.44472535049413925</v>
      </c>
      <c r="G33" s="5"/>
      <c r="H33" s="5"/>
      <c r="I33" s="5"/>
      <c r="J33" s="5"/>
      <c r="K33" s="5"/>
      <c r="L33" s="5"/>
      <c r="M33" s="5"/>
      <c r="N33" s="5"/>
      <c r="O33" s="5"/>
      <c r="P33" s="5"/>
      <c r="Q33" s="5"/>
      <c r="R33" s="5"/>
      <c r="S33" s="5"/>
      <c r="T33" s="5"/>
      <c r="U33" s="5"/>
      <c r="V33" s="5"/>
      <c r="W33" s="5"/>
      <c r="X33" s="5"/>
      <c r="Y33" s="5"/>
      <c r="Z33" s="5"/>
    </row>
    <row r="34" spans="1:26" ht="15.75" customHeight="1" x14ac:dyDescent="0.4">
      <c r="A34" s="5"/>
      <c r="B34" s="24" t="s">
        <v>42</v>
      </c>
      <c r="C34" s="106" t="s">
        <v>127</v>
      </c>
      <c r="D34" s="109"/>
      <c r="E34" s="107"/>
      <c r="F34" s="74">
        <v>15</v>
      </c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</row>
    <row r="35" spans="1:26" ht="15.75" customHeight="1" x14ac:dyDescent="0.4">
      <c r="A35" s="5"/>
      <c r="B35" s="24" t="s">
        <v>44</v>
      </c>
      <c r="C35" s="111" t="s">
        <v>128</v>
      </c>
      <c r="D35" s="109"/>
      <c r="E35" s="107"/>
      <c r="F35" s="73">
        <v>120</v>
      </c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</row>
    <row r="36" spans="1:26" ht="16.5" customHeight="1" x14ac:dyDescent="0.4">
      <c r="A36" s="5"/>
      <c r="B36" s="24" t="s">
        <v>129</v>
      </c>
      <c r="C36" s="106" t="s">
        <v>130</v>
      </c>
      <c r="D36" s="109"/>
      <c r="E36" s="107"/>
      <c r="F36" s="76">
        <v>13.54</v>
      </c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</row>
    <row r="37" spans="1:26" ht="16.5" customHeight="1" x14ac:dyDescent="0.4">
      <c r="A37" s="36"/>
      <c r="B37" s="36"/>
      <c r="C37" s="36"/>
      <c r="D37" s="36"/>
      <c r="E37" s="36"/>
      <c r="F37" s="36"/>
      <c r="G37" s="36"/>
      <c r="H37" s="36"/>
      <c r="I37" s="36"/>
      <c r="J37" s="36"/>
      <c r="K37" s="36"/>
      <c r="L37" s="36"/>
      <c r="M37" s="36"/>
      <c r="N37" s="36"/>
      <c r="O37" s="36"/>
      <c r="P37" s="36"/>
      <c r="Q37" s="36"/>
      <c r="R37" s="36"/>
      <c r="S37" s="36"/>
      <c r="T37" s="36"/>
      <c r="U37" s="36"/>
      <c r="V37" s="36"/>
      <c r="W37" s="36"/>
      <c r="X37" s="36"/>
      <c r="Y37" s="36"/>
      <c r="Z37" s="36"/>
    </row>
    <row r="38" spans="1:26" ht="16.5" customHeight="1" x14ac:dyDescent="0.4">
      <c r="A38" s="1"/>
      <c r="B38" s="65" t="s">
        <v>94</v>
      </c>
      <c r="C38" s="67"/>
      <c r="D38" s="67"/>
      <c r="E38" s="67"/>
      <c r="F38" s="68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</row>
    <row r="39" spans="1:26" ht="33.75" customHeight="1" x14ac:dyDescent="0.4">
      <c r="A39" s="1"/>
      <c r="B39" s="144" t="s">
        <v>95</v>
      </c>
      <c r="C39" s="122"/>
      <c r="D39" s="122"/>
      <c r="E39" s="122"/>
      <c r="F39" s="123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</row>
    <row r="40" spans="1:26" ht="16.5" customHeight="1" x14ac:dyDescent="0.4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</row>
    <row r="41" spans="1:26" ht="16.5" customHeight="1" x14ac:dyDescent="0.4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</row>
    <row r="42" spans="1:26" ht="16.5" customHeight="1" x14ac:dyDescent="0.4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</row>
    <row r="43" spans="1:26" ht="16.5" customHeight="1" x14ac:dyDescent="0.4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</row>
    <row r="44" spans="1:26" ht="16.5" customHeight="1" x14ac:dyDescent="0.4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</row>
    <row r="45" spans="1:26" ht="16.5" customHeight="1" x14ac:dyDescent="0.4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</row>
    <row r="46" spans="1:26" ht="16.5" customHeight="1" x14ac:dyDescent="0.4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</row>
    <row r="47" spans="1:26" ht="16.5" customHeight="1" x14ac:dyDescent="0.4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</row>
    <row r="48" spans="1:26" ht="16.5" customHeight="1" x14ac:dyDescent="0.4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</row>
    <row r="49" spans="1:26" ht="16.5" customHeight="1" x14ac:dyDescent="0.4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</row>
    <row r="50" spans="1:26" ht="16.5" customHeight="1" x14ac:dyDescent="0.4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</row>
    <row r="51" spans="1:26" ht="16.5" customHeight="1" x14ac:dyDescent="0.4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</row>
    <row r="52" spans="1:26" ht="16.5" customHeight="1" x14ac:dyDescent="0.4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</row>
    <row r="53" spans="1:26" ht="16.5" customHeight="1" x14ac:dyDescent="0.4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</row>
    <row r="54" spans="1:26" ht="16.5" customHeight="1" x14ac:dyDescent="0.4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</row>
    <row r="55" spans="1:26" ht="16.5" customHeight="1" x14ac:dyDescent="0.4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</row>
    <row r="56" spans="1:26" ht="16.5" customHeight="1" x14ac:dyDescent="0.4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</row>
    <row r="57" spans="1:26" ht="16.5" customHeight="1" x14ac:dyDescent="0.4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</row>
    <row r="58" spans="1:26" ht="16.5" customHeight="1" x14ac:dyDescent="0.4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</row>
    <row r="59" spans="1:26" ht="16.5" customHeight="1" x14ac:dyDescent="0.4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</row>
    <row r="60" spans="1:26" ht="16.5" customHeight="1" x14ac:dyDescent="0.4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</row>
    <row r="61" spans="1:26" ht="16.5" customHeight="1" x14ac:dyDescent="0.4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</row>
    <row r="62" spans="1:26" ht="16.5" customHeight="1" x14ac:dyDescent="0.4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</row>
    <row r="63" spans="1:26" ht="16.5" customHeight="1" x14ac:dyDescent="0.4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</row>
    <row r="64" spans="1:26" ht="16.5" customHeight="1" x14ac:dyDescent="0.4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</row>
    <row r="65" spans="1:26" ht="16.5" customHeight="1" x14ac:dyDescent="0.4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</row>
    <row r="66" spans="1:26" ht="16.5" customHeight="1" x14ac:dyDescent="0.4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</row>
    <row r="67" spans="1:26" ht="16.5" customHeight="1" x14ac:dyDescent="0.4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</row>
    <row r="68" spans="1:26" ht="16.5" customHeight="1" x14ac:dyDescent="0.4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</row>
    <row r="69" spans="1:26" ht="16.5" customHeight="1" x14ac:dyDescent="0.4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</row>
    <row r="70" spans="1:26" ht="16.5" customHeight="1" x14ac:dyDescent="0.4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</row>
    <row r="71" spans="1:26" ht="16.5" customHeight="1" x14ac:dyDescent="0.4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</row>
    <row r="72" spans="1:26" ht="16.5" customHeight="1" x14ac:dyDescent="0.4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</row>
    <row r="73" spans="1:26" ht="16.5" customHeight="1" x14ac:dyDescent="0.4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</row>
    <row r="74" spans="1:26" ht="16.5" customHeight="1" x14ac:dyDescent="0.4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</row>
    <row r="75" spans="1:26" ht="16.5" customHeight="1" x14ac:dyDescent="0.4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</row>
    <row r="76" spans="1:26" ht="16.5" customHeight="1" x14ac:dyDescent="0.4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</row>
    <row r="77" spans="1:26" ht="16.5" customHeight="1" x14ac:dyDescent="0.4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</row>
    <row r="78" spans="1:26" ht="16.5" customHeight="1" x14ac:dyDescent="0.4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</row>
    <row r="79" spans="1:26" ht="16.5" customHeight="1" x14ac:dyDescent="0.4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</row>
    <row r="80" spans="1:26" ht="16.5" customHeight="1" x14ac:dyDescent="0.4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</row>
    <row r="81" spans="1:26" ht="16.5" customHeight="1" x14ac:dyDescent="0.4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</row>
    <row r="82" spans="1:26" ht="16.5" customHeight="1" x14ac:dyDescent="0.4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</row>
    <row r="83" spans="1:26" ht="16.5" customHeight="1" x14ac:dyDescent="0.4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</row>
    <row r="84" spans="1:26" ht="16.5" customHeight="1" x14ac:dyDescent="0.4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</row>
    <row r="85" spans="1:26" ht="16.5" customHeight="1" x14ac:dyDescent="0.4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</row>
    <row r="86" spans="1:26" ht="16.5" customHeight="1" x14ac:dyDescent="0.4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</row>
    <row r="87" spans="1:26" ht="16.5" customHeight="1" x14ac:dyDescent="0.4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</row>
    <row r="88" spans="1:26" ht="16.5" customHeight="1" x14ac:dyDescent="0.4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</row>
    <row r="89" spans="1:26" ht="16.5" customHeight="1" x14ac:dyDescent="0.4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</row>
    <row r="90" spans="1:26" ht="16.5" customHeight="1" x14ac:dyDescent="0.4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</row>
    <row r="91" spans="1:26" ht="16.5" customHeight="1" x14ac:dyDescent="0.4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</row>
    <row r="92" spans="1:26" ht="16.5" customHeight="1" x14ac:dyDescent="0.4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</row>
    <row r="93" spans="1:26" ht="16.5" customHeight="1" x14ac:dyDescent="0.4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</row>
    <row r="94" spans="1:26" ht="16.5" customHeight="1" x14ac:dyDescent="0.4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</row>
    <row r="95" spans="1:26" ht="16.5" customHeight="1" x14ac:dyDescent="0.4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</row>
    <row r="96" spans="1:26" ht="16.5" customHeight="1" x14ac:dyDescent="0.4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</row>
    <row r="97" spans="1:26" ht="16.5" customHeight="1" x14ac:dyDescent="0.4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</row>
    <row r="98" spans="1:26" ht="16.5" customHeight="1" x14ac:dyDescent="0.4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</row>
    <row r="99" spans="1:26" ht="16.5" customHeight="1" x14ac:dyDescent="0.4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</row>
    <row r="100" spans="1:26" ht="16.5" customHeight="1" x14ac:dyDescent="0.4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</row>
    <row r="101" spans="1:26" ht="16.5" customHeight="1" x14ac:dyDescent="0.4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</row>
    <row r="102" spans="1:26" ht="16.5" customHeight="1" x14ac:dyDescent="0.4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</row>
    <row r="103" spans="1:26" ht="16.5" customHeight="1" x14ac:dyDescent="0.4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</row>
    <row r="104" spans="1:26" ht="16.5" customHeight="1" x14ac:dyDescent="0.4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</row>
    <row r="105" spans="1:26" ht="16.5" customHeight="1" x14ac:dyDescent="0.4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</row>
    <row r="106" spans="1:26" ht="16.5" customHeight="1" x14ac:dyDescent="0.4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</row>
    <row r="107" spans="1:26" ht="16.5" customHeight="1" x14ac:dyDescent="0.4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</row>
    <row r="108" spans="1:26" ht="16.5" customHeight="1" x14ac:dyDescent="0.4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</row>
    <row r="109" spans="1:26" ht="16.5" customHeight="1" x14ac:dyDescent="0.4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</row>
    <row r="110" spans="1:26" ht="16.5" customHeight="1" x14ac:dyDescent="0.4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</row>
    <row r="111" spans="1:26" ht="16.5" customHeight="1" x14ac:dyDescent="0.4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</row>
    <row r="112" spans="1:26" ht="16.5" customHeight="1" x14ac:dyDescent="0.4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</row>
    <row r="113" spans="1:26" ht="16.5" customHeight="1" x14ac:dyDescent="0.4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</row>
    <row r="114" spans="1:26" ht="16.5" customHeight="1" x14ac:dyDescent="0.4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</row>
    <row r="115" spans="1:26" ht="16.5" customHeight="1" x14ac:dyDescent="0.4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</row>
    <row r="116" spans="1:26" ht="16.5" customHeight="1" x14ac:dyDescent="0.4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</row>
    <row r="117" spans="1:26" ht="16.5" customHeight="1" x14ac:dyDescent="0.4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</row>
    <row r="118" spans="1:26" ht="16.5" customHeight="1" x14ac:dyDescent="0.4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</row>
    <row r="119" spans="1:26" ht="16.5" customHeight="1" x14ac:dyDescent="0.4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</row>
    <row r="120" spans="1:26" ht="16.5" customHeight="1" x14ac:dyDescent="0.4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</row>
    <row r="121" spans="1:26" ht="16.5" customHeight="1" x14ac:dyDescent="0.4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</row>
    <row r="122" spans="1:26" ht="16.5" customHeight="1" x14ac:dyDescent="0.4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</row>
    <row r="123" spans="1:26" ht="16.5" customHeight="1" x14ac:dyDescent="0.4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</row>
    <row r="124" spans="1:26" ht="16.5" customHeight="1" x14ac:dyDescent="0.4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</row>
    <row r="125" spans="1:26" ht="16.5" customHeight="1" x14ac:dyDescent="0.4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</row>
    <row r="126" spans="1:26" ht="16.5" customHeight="1" x14ac:dyDescent="0.4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</row>
    <row r="127" spans="1:26" ht="16.5" customHeight="1" x14ac:dyDescent="0.4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</row>
    <row r="128" spans="1:26" ht="16.5" customHeight="1" x14ac:dyDescent="0.4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</row>
    <row r="129" spans="1:26" ht="16.5" customHeight="1" x14ac:dyDescent="0.4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</row>
    <row r="130" spans="1:26" ht="16.5" customHeight="1" x14ac:dyDescent="0.4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</row>
    <row r="131" spans="1:26" ht="16.5" customHeight="1" x14ac:dyDescent="0.4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</row>
    <row r="132" spans="1:26" ht="16.5" customHeight="1" x14ac:dyDescent="0.4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</row>
    <row r="133" spans="1:26" ht="16.5" customHeight="1" x14ac:dyDescent="0.4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</row>
    <row r="134" spans="1:26" ht="16.5" customHeight="1" x14ac:dyDescent="0.4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</row>
    <row r="135" spans="1:26" ht="16.5" customHeight="1" x14ac:dyDescent="0.4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</row>
    <row r="136" spans="1:26" ht="16.5" customHeight="1" x14ac:dyDescent="0.4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</row>
    <row r="137" spans="1:26" ht="16.5" customHeight="1" x14ac:dyDescent="0.4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</row>
    <row r="138" spans="1:26" ht="16.5" customHeight="1" x14ac:dyDescent="0.4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</row>
    <row r="139" spans="1:26" ht="16.5" customHeight="1" x14ac:dyDescent="0.4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</row>
    <row r="140" spans="1:26" ht="16.5" customHeight="1" x14ac:dyDescent="0.4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</row>
    <row r="141" spans="1:26" ht="16.5" customHeight="1" x14ac:dyDescent="0.4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</row>
    <row r="142" spans="1:26" ht="16.5" customHeight="1" x14ac:dyDescent="0.4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</row>
    <row r="143" spans="1:26" ht="16.5" customHeight="1" x14ac:dyDescent="0.4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</row>
    <row r="144" spans="1:26" ht="16.5" customHeight="1" x14ac:dyDescent="0.4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</row>
    <row r="145" spans="1:26" ht="16.5" customHeight="1" x14ac:dyDescent="0.4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</row>
    <row r="146" spans="1:26" ht="16.5" customHeight="1" x14ac:dyDescent="0.4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</row>
    <row r="147" spans="1:26" ht="16.5" customHeight="1" x14ac:dyDescent="0.4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</row>
    <row r="148" spans="1:26" ht="16.5" customHeight="1" x14ac:dyDescent="0.4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</row>
    <row r="149" spans="1:26" ht="16.5" customHeight="1" x14ac:dyDescent="0.4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</row>
    <row r="150" spans="1:26" ht="16.5" customHeight="1" x14ac:dyDescent="0.4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</row>
    <row r="151" spans="1:26" ht="16.5" customHeight="1" x14ac:dyDescent="0.4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</row>
    <row r="152" spans="1:26" ht="16.5" customHeight="1" x14ac:dyDescent="0.4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</row>
    <row r="153" spans="1:26" ht="16.5" customHeight="1" x14ac:dyDescent="0.4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</row>
    <row r="154" spans="1:26" ht="16.5" customHeight="1" x14ac:dyDescent="0.4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</row>
    <row r="155" spans="1:26" ht="16.5" customHeight="1" x14ac:dyDescent="0.4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</row>
    <row r="156" spans="1:26" ht="16.5" customHeight="1" x14ac:dyDescent="0.4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</row>
    <row r="157" spans="1:26" ht="16.5" customHeight="1" x14ac:dyDescent="0.4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</row>
    <row r="158" spans="1:26" ht="16.5" customHeight="1" x14ac:dyDescent="0.4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</row>
    <row r="159" spans="1:26" ht="16.5" customHeight="1" x14ac:dyDescent="0.4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</row>
    <row r="160" spans="1:26" ht="16.5" customHeight="1" x14ac:dyDescent="0.4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</row>
    <row r="161" spans="1:26" ht="16.5" customHeight="1" x14ac:dyDescent="0.4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</row>
    <row r="162" spans="1:26" ht="16.5" customHeight="1" x14ac:dyDescent="0.4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</row>
    <row r="163" spans="1:26" ht="16.5" customHeight="1" x14ac:dyDescent="0.4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</row>
    <row r="164" spans="1:26" ht="16.5" customHeight="1" x14ac:dyDescent="0.4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</row>
    <row r="165" spans="1:26" ht="16.5" customHeight="1" x14ac:dyDescent="0.4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</row>
    <row r="166" spans="1:26" ht="16.5" customHeight="1" x14ac:dyDescent="0.4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</row>
    <row r="167" spans="1:26" ht="16.5" customHeight="1" x14ac:dyDescent="0.4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</row>
    <row r="168" spans="1:26" ht="16.5" customHeight="1" x14ac:dyDescent="0.4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</row>
    <row r="169" spans="1:26" ht="16.5" customHeight="1" x14ac:dyDescent="0.4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</row>
    <row r="170" spans="1:26" ht="16.5" customHeight="1" x14ac:dyDescent="0.4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</row>
    <row r="171" spans="1:26" ht="16.5" customHeight="1" x14ac:dyDescent="0.4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</row>
    <row r="172" spans="1:26" ht="16.5" customHeight="1" x14ac:dyDescent="0.4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</row>
    <row r="173" spans="1:26" ht="16.5" customHeight="1" x14ac:dyDescent="0.4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</row>
    <row r="174" spans="1:26" ht="16.5" customHeight="1" x14ac:dyDescent="0.4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</row>
    <row r="175" spans="1:26" ht="16.5" customHeight="1" x14ac:dyDescent="0.4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</row>
    <row r="176" spans="1:26" ht="16.5" customHeight="1" x14ac:dyDescent="0.4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</row>
    <row r="177" spans="1:26" ht="16.5" customHeight="1" x14ac:dyDescent="0.4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</row>
    <row r="178" spans="1:26" ht="16.5" customHeight="1" x14ac:dyDescent="0.4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</row>
    <row r="179" spans="1:26" ht="16.5" customHeight="1" x14ac:dyDescent="0.4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</row>
    <row r="180" spans="1:26" ht="16.5" customHeight="1" x14ac:dyDescent="0.4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</row>
    <row r="181" spans="1:26" ht="16.5" customHeight="1" x14ac:dyDescent="0.4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</row>
    <row r="182" spans="1:26" ht="16.5" customHeight="1" x14ac:dyDescent="0.4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</row>
    <row r="183" spans="1:26" ht="16.5" customHeight="1" x14ac:dyDescent="0.4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</row>
    <row r="184" spans="1:26" ht="16.5" customHeight="1" x14ac:dyDescent="0.4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</row>
    <row r="185" spans="1:26" ht="16.5" customHeight="1" x14ac:dyDescent="0.4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</row>
    <row r="186" spans="1:26" ht="16.5" customHeight="1" x14ac:dyDescent="0.4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</row>
    <row r="187" spans="1:26" ht="16.5" customHeight="1" x14ac:dyDescent="0.4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</row>
    <row r="188" spans="1:26" ht="16.5" customHeight="1" x14ac:dyDescent="0.4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</row>
    <row r="189" spans="1:26" ht="16.5" customHeight="1" x14ac:dyDescent="0.4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</row>
    <row r="190" spans="1:26" ht="16.5" customHeight="1" x14ac:dyDescent="0.4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</row>
    <row r="191" spans="1:26" ht="16.5" customHeight="1" x14ac:dyDescent="0.4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</row>
    <row r="192" spans="1:26" ht="16.5" customHeight="1" x14ac:dyDescent="0.4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</row>
    <row r="193" spans="1:26" ht="16.5" customHeight="1" x14ac:dyDescent="0.4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</row>
    <row r="194" spans="1:26" ht="16.5" customHeight="1" x14ac:dyDescent="0.4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</row>
    <row r="195" spans="1:26" ht="16.5" customHeight="1" x14ac:dyDescent="0.4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</row>
    <row r="196" spans="1:26" ht="16.5" customHeight="1" x14ac:dyDescent="0.4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</row>
    <row r="197" spans="1:26" ht="16.5" customHeight="1" x14ac:dyDescent="0.4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</row>
    <row r="198" spans="1:26" ht="16.5" customHeight="1" x14ac:dyDescent="0.4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</row>
    <row r="199" spans="1:26" ht="16.5" customHeight="1" x14ac:dyDescent="0.4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</row>
    <row r="200" spans="1:26" ht="16.5" customHeight="1" x14ac:dyDescent="0.4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</row>
    <row r="201" spans="1:26" ht="16.5" customHeight="1" x14ac:dyDescent="0.4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</row>
    <row r="202" spans="1:26" ht="16.5" customHeight="1" x14ac:dyDescent="0.4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</row>
    <row r="203" spans="1:26" ht="16.5" customHeight="1" x14ac:dyDescent="0.4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</row>
    <row r="204" spans="1:26" ht="16.5" customHeight="1" x14ac:dyDescent="0.4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</row>
    <row r="205" spans="1:26" ht="16.5" customHeight="1" x14ac:dyDescent="0.4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</row>
    <row r="206" spans="1:26" ht="16.5" customHeight="1" x14ac:dyDescent="0.4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</row>
    <row r="207" spans="1:26" ht="16.5" customHeight="1" x14ac:dyDescent="0.4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</row>
    <row r="208" spans="1:26" ht="16.5" customHeight="1" x14ac:dyDescent="0.4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</row>
    <row r="209" spans="1:26" ht="16.5" customHeight="1" x14ac:dyDescent="0.4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</row>
    <row r="210" spans="1:26" ht="16.5" customHeight="1" x14ac:dyDescent="0.4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</row>
    <row r="211" spans="1:26" ht="16.5" customHeight="1" x14ac:dyDescent="0.4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</row>
    <row r="212" spans="1:26" ht="16.5" customHeight="1" x14ac:dyDescent="0.4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</row>
    <row r="213" spans="1:26" ht="16.5" customHeight="1" x14ac:dyDescent="0.4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</row>
    <row r="214" spans="1:26" ht="16.5" customHeight="1" x14ac:dyDescent="0.4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</row>
    <row r="215" spans="1:26" ht="16.5" customHeight="1" x14ac:dyDescent="0.4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</row>
    <row r="216" spans="1:26" ht="16.5" customHeight="1" x14ac:dyDescent="0.4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</row>
    <row r="217" spans="1:26" ht="16.5" customHeight="1" x14ac:dyDescent="0.4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</row>
    <row r="218" spans="1:26" ht="16.5" customHeight="1" x14ac:dyDescent="0.4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</row>
    <row r="219" spans="1:26" ht="16.5" customHeight="1" x14ac:dyDescent="0.4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</row>
    <row r="220" spans="1:26" ht="16.5" customHeight="1" x14ac:dyDescent="0.4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</row>
    <row r="221" spans="1:26" ht="16.5" customHeight="1" x14ac:dyDescent="0.4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</row>
    <row r="222" spans="1:26" ht="16.5" customHeight="1" x14ac:dyDescent="0.4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</row>
    <row r="223" spans="1:26" ht="16.5" customHeight="1" x14ac:dyDescent="0.4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</row>
    <row r="224" spans="1:26" ht="16.5" customHeight="1" x14ac:dyDescent="0.4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</row>
    <row r="225" spans="1:26" ht="16.5" customHeight="1" x14ac:dyDescent="0.4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</row>
    <row r="226" spans="1:26" ht="16.5" customHeight="1" x14ac:dyDescent="0.4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</row>
    <row r="227" spans="1:26" ht="16.5" customHeight="1" x14ac:dyDescent="0.4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</row>
    <row r="228" spans="1:26" ht="16.5" customHeight="1" x14ac:dyDescent="0.4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</row>
    <row r="229" spans="1:26" ht="16.5" customHeight="1" x14ac:dyDescent="0.4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</row>
    <row r="230" spans="1:26" ht="16.5" customHeight="1" x14ac:dyDescent="0.4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</row>
    <row r="231" spans="1:26" ht="16.5" customHeight="1" x14ac:dyDescent="0.4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</row>
    <row r="232" spans="1:26" ht="16.5" customHeight="1" x14ac:dyDescent="0.4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</row>
    <row r="233" spans="1:26" ht="16.5" customHeight="1" x14ac:dyDescent="0.4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</row>
    <row r="234" spans="1:26" ht="16.5" customHeight="1" x14ac:dyDescent="0.4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</row>
    <row r="235" spans="1:26" ht="16.5" customHeight="1" x14ac:dyDescent="0.4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</row>
    <row r="236" spans="1:26" ht="16.5" customHeight="1" x14ac:dyDescent="0.4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</row>
    <row r="237" spans="1:26" ht="16.5" customHeight="1" x14ac:dyDescent="0.4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</row>
    <row r="238" spans="1:26" ht="16.5" customHeight="1" x14ac:dyDescent="0.4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</row>
    <row r="239" spans="1:26" ht="16.5" customHeight="1" x14ac:dyDescent="0.4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</row>
    <row r="240" spans="1:26" ht="16.5" customHeight="1" x14ac:dyDescent="0.4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</row>
    <row r="241" spans="1:26" ht="16.5" customHeight="1" x14ac:dyDescent="0.4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</row>
    <row r="242" spans="1:26" ht="16.5" customHeight="1" x14ac:dyDescent="0.4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</row>
    <row r="243" spans="1:26" ht="16.5" customHeight="1" x14ac:dyDescent="0.4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</row>
    <row r="244" spans="1:26" ht="16.5" customHeight="1" x14ac:dyDescent="0.4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</row>
    <row r="245" spans="1:26" ht="16.5" customHeight="1" x14ac:dyDescent="0.4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</row>
    <row r="246" spans="1:26" ht="16.5" customHeight="1" x14ac:dyDescent="0.4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</row>
    <row r="247" spans="1:26" ht="16.5" customHeight="1" x14ac:dyDescent="0.4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</row>
    <row r="248" spans="1:26" ht="16.5" customHeight="1" x14ac:dyDescent="0.4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</row>
    <row r="249" spans="1:26" ht="16.5" customHeight="1" x14ac:dyDescent="0.4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</row>
    <row r="250" spans="1:26" ht="16.5" customHeight="1" x14ac:dyDescent="0.4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</row>
    <row r="251" spans="1:26" ht="16.5" customHeight="1" x14ac:dyDescent="0.4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</row>
    <row r="252" spans="1:26" ht="16.5" customHeight="1" x14ac:dyDescent="0.4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</row>
    <row r="253" spans="1:26" ht="16.5" customHeight="1" x14ac:dyDescent="0.4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</row>
    <row r="254" spans="1:26" ht="16.5" customHeight="1" x14ac:dyDescent="0.4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</row>
    <row r="255" spans="1:26" ht="16.5" customHeight="1" x14ac:dyDescent="0.4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</row>
    <row r="256" spans="1:26" ht="16.5" customHeight="1" x14ac:dyDescent="0.4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</row>
    <row r="257" spans="1:26" ht="16.5" customHeight="1" x14ac:dyDescent="0.4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</row>
    <row r="258" spans="1:26" ht="16.5" customHeight="1" x14ac:dyDescent="0.4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</row>
    <row r="259" spans="1:26" ht="16.5" customHeight="1" x14ac:dyDescent="0.4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</row>
    <row r="260" spans="1:26" ht="16.5" customHeight="1" x14ac:dyDescent="0.4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</row>
    <row r="261" spans="1:26" ht="16.5" customHeight="1" x14ac:dyDescent="0.4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</row>
    <row r="262" spans="1:26" ht="16.5" customHeight="1" x14ac:dyDescent="0.4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</row>
    <row r="263" spans="1:26" ht="16.5" customHeight="1" x14ac:dyDescent="0.4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</row>
    <row r="264" spans="1:26" ht="16.5" customHeight="1" x14ac:dyDescent="0.4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</row>
    <row r="265" spans="1:26" ht="16.5" customHeight="1" x14ac:dyDescent="0.4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</row>
    <row r="266" spans="1:26" ht="16.5" customHeight="1" x14ac:dyDescent="0.4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</row>
    <row r="267" spans="1:26" ht="16.5" customHeight="1" x14ac:dyDescent="0.4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</row>
    <row r="268" spans="1:26" ht="16.5" customHeight="1" x14ac:dyDescent="0.4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</row>
    <row r="269" spans="1:26" ht="16.5" customHeight="1" x14ac:dyDescent="0.4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</row>
    <row r="270" spans="1:26" ht="16.5" customHeight="1" x14ac:dyDescent="0.4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</row>
    <row r="271" spans="1:26" ht="16.5" customHeight="1" x14ac:dyDescent="0.4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</row>
    <row r="272" spans="1:26" ht="16.5" customHeight="1" x14ac:dyDescent="0.4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</row>
    <row r="273" spans="1:26" ht="16.5" customHeight="1" x14ac:dyDescent="0.4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</row>
    <row r="274" spans="1:26" ht="16.5" customHeight="1" x14ac:dyDescent="0.4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</row>
    <row r="275" spans="1:26" ht="16.5" customHeight="1" x14ac:dyDescent="0.4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</row>
    <row r="276" spans="1:26" ht="16.5" customHeight="1" x14ac:dyDescent="0.4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</row>
    <row r="277" spans="1:26" ht="16.5" customHeight="1" x14ac:dyDescent="0.4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</row>
    <row r="278" spans="1:26" ht="16.5" customHeight="1" x14ac:dyDescent="0.4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</row>
    <row r="279" spans="1:26" ht="16.5" customHeight="1" x14ac:dyDescent="0.4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</row>
    <row r="280" spans="1:26" ht="16.5" customHeight="1" x14ac:dyDescent="0.4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</row>
    <row r="281" spans="1:26" ht="16.5" customHeight="1" x14ac:dyDescent="0.4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</row>
    <row r="282" spans="1:26" ht="16.5" customHeight="1" x14ac:dyDescent="0.4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</row>
    <row r="283" spans="1:26" ht="16.5" customHeight="1" x14ac:dyDescent="0.4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</row>
    <row r="284" spans="1:26" ht="16.5" customHeight="1" x14ac:dyDescent="0.4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</row>
    <row r="285" spans="1:26" ht="16.5" customHeight="1" x14ac:dyDescent="0.4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</row>
    <row r="286" spans="1:26" ht="16.5" customHeight="1" x14ac:dyDescent="0.4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</row>
    <row r="287" spans="1:26" ht="16.5" customHeight="1" x14ac:dyDescent="0.4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</row>
    <row r="288" spans="1:26" ht="16.5" customHeight="1" x14ac:dyDescent="0.4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</row>
    <row r="289" spans="1:26" ht="16.5" customHeight="1" x14ac:dyDescent="0.4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</row>
    <row r="290" spans="1:26" ht="16.5" customHeight="1" x14ac:dyDescent="0.4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</row>
    <row r="291" spans="1:26" ht="16.5" customHeight="1" x14ac:dyDescent="0.4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</row>
    <row r="292" spans="1:26" ht="16.5" customHeight="1" x14ac:dyDescent="0.4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</row>
    <row r="293" spans="1:26" ht="16.5" customHeight="1" x14ac:dyDescent="0.4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</row>
    <row r="294" spans="1:26" ht="16.5" customHeight="1" x14ac:dyDescent="0.4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</row>
    <row r="295" spans="1:26" ht="16.5" customHeight="1" x14ac:dyDescent="0.4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</row>
    <row r="296" spans="1:26" ht="16.5" customHeight="1" x14ac:dyDescent="0.4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</row>
    <row r="297" spans="1:26" ht="16.5" customHeight="1" x14ac:dyDescent="0.4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</row>
    <row r="298" spans="1:26" ht="16.5" customHeight="1" x14ac:dyDescent="0.4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</row>
    <row r="299" spans="1:26" ht="16.5" customHeight="1" x14ac:dyDescent="0.4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</row>
    <row r="300" spans="1:26" ht="16.5" customHeight="1" x14ac:dyDescent="0.4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</row>
    <row r="301" spans="1:26" ht="16.5" customHeight="1" x14ac:dyDescent="0.4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</row>
    <row r="302" spans="1:26" ht="16.5" customHeight="1" x14ac:dyDescent="0.4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</row>
    <row r="303" spans="1:26" ht="16.5" customHeight="1" x14ac:dyDescent="0.4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</row>
    <row r="304" spans="1:26" ht="16.5" customHeight="1" x14ac:dyDescent="0.4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</row>
    <row r="305" spans="1:26" ht="16.5" customHeight="1" x14ac:dyDescent="0.4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</row>
    <row r="306" spans="1:26" ht="16.5" customHeight="1" x14ac:dyDescent="0.4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</row>
    <row r="307" spans="1:26" ht="16.5" customHeight="1" x14ac:dyDescent="0.4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</row>
    <row r="308" spans="1:26" ht="16.5" customHeight="1" x14ac:dyDescent="0.4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</row>
    <row r="309" spans="1:26" ht="16.5" customHeight="1" x14ac:dyDescent="0.4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</row>
    <row r="310" spans="1:26" ht="16.5" customHeight="1" x14ac:dyDescent="0.4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</row>
    <row r="311" spans="1:26" ht="16.5" customHeight="1" x14ac:dyDescent="0.4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</row>
    <row r="312" spans="1:26" ht="16.5" customHeight="1" x14ac:dyDescent="0.4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</row>
    <row r="313" spans="1:26" ht="16.5" customHeight="1" x14ac:dyDescent="0.4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</row>
    <row r="314" spans="1:26" ht="16.5" customHeight="1" x14ac:dyDescent="0.4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</row>
    <row r="315" spans="1:26" ht="16.5" customHeight="1" x14ac:dyDescent="0.4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</row>
    <row r="316" spans="1:26" ht="16.5" customHeight="1" x14ac:dyDescent="0.4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</row>
    <row r="317" spans="1:26" ht="16.5" customHeight="1" x14ac:dyDescent="0.4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</row>
    <row r="318" spans="1:26" ht="16.5" customHeight="1" x14ac:dyDescent="0.4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</row>
    <row r="319" spans="1:26" ht="16.5" customHeight="1" x14ac:dyDescent="0.4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</row>
    <row r="320" spans="1:26" ht="16.5" customHeight="1" x14ac:dyDescent="0.4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</row>
    <row r="321" spans="1:26" ht="16.5" customHeight="1" x14ac:dyDescent="0.4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</row>
    <row r="322" spans="1:26" ht="16.5" customHeight="1" x14ac:dyDescent="0.4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</row>
    <row r="323" spans="1:26" ht="16.5" customHeight="1" x14ac:dyDescent="0.4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</row>
    <row r="324" spans="1:26" ht="16.5" customHeight="1" x14ac:dyDescent="0.4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</row>
    <row r="325" spans="1:26" ht="16.5" customHeight="1" x14ac:dyDescent="0.4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</row>
    <row r="326" spans="1:26" ht="16.5" customHeight="1" x14ac:dyDescent="0.4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</row>
    <row r="327" spans="1:26" ht="16.5" customHeight="1" x14ac:dyDescent="0.4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</row>
    <row r="328" spans="1:26" ht="16.5" customHeight="1" x14ac:dyDescent="0.4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</row>
    <row r="329" spans="1:26" ht="16.5" customHeight="1" x14ac:dyDescent="0.4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</row>
    <row r="330" spans="1:26" ht="16.5" customHeight="1" x14ac:dyDescent="0.4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</row>
    <row r="331" spans="1:26" ht="16.5" customHeight="1" x14ac:dyDescent="0.4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</row>
    <row r="332" spans="1:26" ht="16.5" customHeight="1" x14ac:dyDescent="0.4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</row>
    <row r="333" spans="1:26" ht="16.5" customHeight="1" x14ac:dyDescent="0.4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</row>
    <row r="334" spans="1:26" ht="16.5" customHeight="1" x14ac:dyDescent="0.4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</row>
    <row r="335" spans="1:26" ht="16.5" customHeight="1" x14ac:dyDescent="0.4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</row>
    <row r="336" spans="1:26" ht="16.5" customHeight="1" x14ac:dyDescent="0.4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</row>
    <row r="337" spans="1:26" ht="16.5" customHeight="1" x14ac:dyDescent="0.4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</row>
    <row r="338" spans="1:26" ht="16.5" customHeight="1" x14ac:dyDescent="0.4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</row>
    <row r="339" spans="1:26" ht="16.5" customHeight="1" x14ac:dyDescent="0.4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</row>
    <row r="340" spans="1:26" ht="16.5" customHeight="1" x14ac:dyDescent="0.4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</row>
    <row r="341" spans="1:26" ht="16.5" customHeight="1" x14ac:dyDescent="0.4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</row>
    <row r="342" spans="1:26" ht="16.5" customHeight="1" x14ac:dyDescent="0.4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</row>
    <row r="343" spans="1:26" ht="16.5" customHeight="1" x14ac:dyDescent="0.4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</row>
    <row r="344" spans="1:26" ht="16.5" customHeight="1" x14ac:dyDescent="0.4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</row>
    <row r="345" spans="1:26" ht="16.5" customHeight="1" x14ac:dyDescent="0.4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</row>
    <row r="346" spans="1:26" ht="16.5" customHeight="1" x14ac:dyDescent="0.4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</row>
    <row r="347" spans="1:26" ht="16.5" customHeight="1" x14ac:dyDescent="0.4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</row>
    <row r="348" spans="1:26" ht="16.5" customHeight="1" x14ac:dyDescent="0.4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</row>
    <row r="349" spans="1:26" ht="16.5" customHeight="1" x14ac:dyDescent="0.4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</row>
    <row r="350" spans="1:26" ht="16.5" customHeight="1" x14ac:dyDescent="0.4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</row>
    <row r="351" spans="1:26" ht="16.5" customHeight="1" x14ac:dyDescent="0.4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</row>
    <row r="352" spans="1:26" ht="16.5" customHeight="1" x14ac:dyDescent="0.4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</row>
    <row r="353" spans="1:26" ht="16.5" customHeight="1" x14ac:dyDescent="0.4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</row>
    <row r="354" spans="1:26" ht="16.5" customHeight="1" x14ac:dyDescent="0.4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</row>
    <row r="355" spans="1:26" ht="16.5" customHeight="1" x14ac:dyDescent="0.4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</row>
    <row r="356" spans="1:26" ht="16.5" customHeight="1" x14ac:dyDescent="0.4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</row>
    <row r="357" spans="1:26" ht="16.5" customHeight="1" x14ac:dyDescent="0.4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</row>
    <row r="358" spans="1:26" ht="16.5" customHeight="1" x14ac:dyDescent="0.4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</row>
    <row r="359" spans="1:26" ht="16.5" customHeight="1" x14ac:dyDescent="0.4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</row>
    <row r="360" spans="1:26" ht="16.5" customHeight="1" x14ac:dyDescent="0.4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</row>
    <row r="361" spans="1:26" ht="16.5" customHeight="1" x14ac:dyDescent="0.4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</row>
    <row r="362" spans="1:26" ht="16.5" customHeight="1" x14ac:dyDescent="0.4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</row>
    <row r="363" spans="1:26" ht="16.5" customHeight="1" x14ac:dyDescent="0.4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</row>
    <row r="364" spans="1:26" ht="16.5" customHeight="1" x14ac:dyDescent="0.4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</row>
    <row r="365" spans="1:26" ht="16.5" customHeight="1" x14ac:dyDescent="0.4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</row>
    <row r="366" spans="1:26" ht="16.5" customHeight="1" x14ac:dyDescent="0.4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</row>
    <row r="367" spans="1:26" ht="16.5" customHeight="1" x14ac:dyDescent="0.4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</row>
    <row r="368" spans="1:26" ht="16.5" customHeight="1" x14ac:dyDescent="0.4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</row>
    <row r="369" spans="1:26" ht="16.5" customHeight="1" x14ac:dyDescent="0.4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</row>
    <row r="370" spans="1:26" ht="16.5" customHeight="1" x14ac:dyDescent="0.4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</row>
    <row r="371" spans="1:26" ht="16.5" customHeight="1" x14ac:dyDescent="0.4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</row>
    <row r="372" spans="1:26" ht="16.5" customHeight="1" x14ac:dyDescent="0.4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</row>
    <row r="373" spans="1:26" ht="16.5" customHeight="1" x14ac:dyDescent="0.4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</row>
    <row r="374" spans="1:26" ht="16.5" customHeight="1" x14ac:dyDescent="0.4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</row>
    <row r="375" spans="1:26" ht="16.5" customHeight="1" x14ac:dyDescent="0.4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</row>
    <row r="376" spans="1:26" ht="16.5" customHeight="1" x14ac:dyDescent="0.4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</row>
    <row r="377" spans="1:26" ht="16.5" customHeight="1" x14ac:dyDescent="0.4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</row>
    <row r="378" spans="1:26" ht="16.5" customHeight="1" x14ac:dyDescent="0.4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</row>
    <row r="379" spans="1:26" ht="16.5" customHeight="1" x14ac:dyDescent="0.4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</row>
    <row r="380" spans="1:26" ht="16.5" customHeight="1" x14ac:dyDescent="0.4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</row>
    <row r="381" spans="1:26" ht="16.5" customHeight="1" x14ac:dyDescent="0.4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</row>
    <row r="382" spans="1:26" ht="16.5" customHeight="1" x14ac:dyDescent="0.4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</row>
    <row r="383" spans="1:26" ht="16.5" customHeight="1" x14ac:dyDescent="0.4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</row>
    <row r="384" spans="1:26" ht="16.5" customHeight="1" x14ac:dyDescent="0.4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</row>
    <row r="385" spans="1:26" ht="16.5" customHeight="1" x14ac:dyDescent="0.4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</row>
    <row r="386" spans="1:26" ht="16.5" customHeight="1" x14ac:dyDescent="0.4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</row>
    <row r="387" spans="1:26" ht="16.5" customHeight="1" x14ac:dyDescent="0.4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</row>
    <row r="388" spans="1:26" ht="16.5" customHeight="1" x14ac:dyDescent="0.4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</row>
    <row r="389" spans="1:26" ht="16.5" customHeight="1" x14ac:dyDescent="0.4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</row>
    <row r="390" spans="1:26" ht="16.5" customHeight="1" x14ac:dyDescent="0.4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</row>
    <row r="391" spans="1:26" ht="16.5" customHeight="1" x14ac:dyDescent="0.4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</row>
    <row r="392" spans="1:26" ht="16.5" customHeight="1" x14ac:dyDescent="0.4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</row>
    <row r="393" spans="1:26" ht="16.5" customHeight="1" x14ac:dyDescent="0.4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</row>
    <row r="394" spans="1:26" ht="16.5" customHeight="1" x14ac:dyDescent="0.4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</row>
    <row r="395" spans="1:26" ht="16.5" customHeight="1" x14ac:dyDescent="0.4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</row>
    <row r="396" spans="1:26" ht="16.5" customHeight="1" x14ac:dyDescent="0.4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</row>
    <row r="397" spans="1:26" ht="16.5" customHeight="1" x14ac:dyDescent="0.4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</row>
    <row r="398" spans="1:26" ht="16.5" customHeight="1" x14ac:dyDescent="0.4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</row>
    <row r="399" spans="1:26" ht="16.5" customHeight="1" x14ac:dyDescent="0.4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</row>
    <row r="400" spans="1:26" ht="16.5" customHeight="1" x14ac:dyDescent="0.4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</row>
    <row r="401" spans="1:26" ht="16.5" customHeight="1" x14ac:dyDescent="0.4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</row>
    <row r="402" spans="1:26" ht="16.5" customHeight="1" x14ac:dyDescent="0.4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</row>
    <row r="403" spans="1:26" ht="16.5" customHeight="1" x14ac:dyDescent="0.4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</row>
    <row r="404" spans="1:26" ht="16.5" customHeight="1" x14ac:dyDescent="0.4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</row>
    <row r="405" spans="1:26" ht="16.5" customHeight="1" x14ac:dyDescent="0.4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</row>
    <row r="406" spans="1:26" ht="16.5" customHeight="1" x14ac:dyDescent="0.4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</row>
    <row r="407" spans="1:26" ht="16.5" customHeight="1" x14ac:dyDescent="0.4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</row>
    <row r="408" spans="1:26" ht="16.5" customHeight="1" x14ac:dyDescent="0.4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</row>
    <row r="409" spans="1:26" ht="16.5" customHeight="1" x14ac:dyDescent="0.4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</row>
    <row r="410" spans="1:26" ht="16.5" customHeight="1" x14ac:dyDescent="0.4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</row>
    <row r="411" spans="1:26" ht="16.5" customHeight="1" x14ac:dyDescent="0.4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</row>
    <row r="412" spans="1:26" ht="16.5" customHeight="1" x14ac:dyDescent="0.4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</row>
    <row r="413" spans="1:26" ht="16.5" customHeight="1" x14ac:dyDescent="0.4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</row>
    <row r="414" spans="1:26" ht="16.5" customHeight="1" x14ac:dyDescent="0.4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</row>
    <row r="415" spans="1:26" ht="16.5" customHeight="1" x14ac:dyDescent="0.4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</row>
    <row r="416" spans="1:26" ht="16.5" customHeight="1" x14ac:dyDescent="0.4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</row>
    <row r="417" spans="1:26" ht="16.5" customHeight="1" x14ac:dyDescent="0.4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</row>
    <row r="418" spans="1:26" ht="16.5" customHeight="1" x14ac:dyDescent="0.4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</row>
    <row r="419" spans="1:26" ht="16.5" customHeight="1" x14ac:dyDescent="0.4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</row>
    <row r="420" spans="1:26" ht="16.5" customHeight="1" x14ac:dyDescent="0.4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</row>
    <row r="421" spans="1:26" ht="16.5" customHeight="1" x14ac:dyDescent="0.4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</row>
    <row r="422" spans="1:26" ht="16.5" customHeight="1" x14ac:dyDescent="0.4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</row>
    <row r="423" spans="1:26" ht="16.5" customHeight="1" x14ac:dyDescent="0.4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</row>
    <row r="424" spans="1:26" ht="16.5" customHeight="1" x14ac:dyDescent="0.4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</row>
    <row r="425" spans="1:26" ht="16.5" customHeight="1" x14ac:dyDescent="0.4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</row>
    <row r="426" spans="1:26" ht="16.5" customHeight="1" x14ac:dyDescent="0.4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</row>
    <row r="427" spans="1:26" ht="16.5" customHeight="1" x14ac:dyDescent="0.4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</row>
    <row r="428" spans="1:26" ht="16.5" customHeight="1" x14ac:dyDescent="0.4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</row>
    <row r="429" spans="1:26" ht="16.5" customHeight="1" x14ac:dyDescent="0.4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</row>
    <row r="430" spans="1:26" ht="16.5" customHeight="1" x14ac:dyDescent="0.4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</row>
    <row r="431" spans="1:26" ht="16.5" customHeight="1" x14ac:dyDescent="0.4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</row>
    <row r="432" spans="1:26" ht="16.5" customHeight="1" x14ac:dyDescent="0.4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</row>
    <row r="433" spans="1:26" ht="16.5" customHeight="1" x14ac:dyDescent="0.4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</row>
    <row r="434" spans="1:26" ht="16.5" customHeight="1" x14ac:dyDescent="0.4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</row>
    <row r="435" spans="1:26" ht="16.5" customHeight="1" x14ac:dyDescent="0.4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</row>
    <row r="436" spans="1:26" ht="16.5" customHeight="1" x14ac:dyDescent="0.4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</row>
    <row r="437" spans="1:26" ht="16.5" customHeight="1" x14ac:dyDescent="0.4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</row>
    <row r="438" spans="1:26" ht="16.5" customHeight="1" x14ac:dyDescent="0.4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</row>
    <row r="439" spans="1:26" ht="16.5" customHeight="1" x14ac:dyDescent="0.4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</row>
    <row r="440" spans="1:26" ht="16.5" customHeight="1" x14ac:dyDescent="0.4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</row>
    <row r="441" spans="1:26" ht="16.5" customHeight="1" x14ac:dyDescent="0.4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</row>
    <row r="442" spans="1:26" ht="16.5" customHeight="1" x14ac:dyDescent="0.4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</row>
    <row r="443" spans="1:26" ht="16.5" customHeight="1" x14ac:dyDescent="0.4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</row>
    <row r="444" spans="1:26" ht="16.5" customHeight="1" x14ac:dyDescent="0.4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</row>
    <row r="445" spans="1:26" ht="16.5" customHeight="1" x14ac:dyDescent="0.4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</row>
    <row r="446" spans="1:26" ht="16.5" customHeight="1" x14ac:dyDescent="0.4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</row>
    <row r="447" spans="1:26" ht="16.5" customHeight="1" x14ac:dyDescent="0.4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</row>
    <row r="448" spans="1:26" ht="16.5" customHeight="1" x14ac:dyDescent="0.4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</row>
    <row r="449" spans="1:26" ht="16.5" customHeight="1" x14ac:dyDescent="0.4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</row>
    <row r="450" spans="1:26" ht="16.5" customHeight="1" x14ac:dyDescent="0.4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</row>
    <row r="451" spans="1:26" ht="16.5" customHeight="1" x14ac:dyDescent="0.4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</row>
    <row r="452" spans="1:26" ht="16.5" customHeight="1" x14ac:dyDescent="0.4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</row>
    <row r="453" spans="1:26" ht="16.5" customHeight="1" x14ac:dyDescent="0.4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</row>
    <row r="454" spans="1:26" ht="16.5" customHeight="1" x14ac:dyDescent="0.4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</row>
    <row r="455" spans="1:26" ht="16.5" customHeight="1" x14ac:dyDescent="0.4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</row>
    <row r="456" spans="1:26" ht="16.5" customHeight="1" x14ac:dyDescent="0.4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</row>
    <row r="457" spans="1:26" ht="16.5" customHeight="1" x14ac:dyDescent="0.4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</row>
    <row r="458" spans="1:26" ht="16.5" customHeight="1" x14ac:dyDescent="0.4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</row>
    <row r="459" spans="1:26" ht="16.5" customHeight="1" x14ac:dyDescent="0.4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</row>
    <row r="460" spans="1:26" ht="16.5" customHeight="1" x14ac:dyDescent="0.4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</row>
    <row r="461" spans="1:26" ht="16.5" customHeight="1" x14ac:dyDescent="0.4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</row>
    <row r="462" spans="1:26" ht="16.5" customHeight="1" x14ac:dyDescent="0.4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</row>
    <row r="463" spans="1:26" ht="16.5" customHeight="1" x14ac:dyDescent="0.4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</row>
    <row r="464" spans="1:26" ht="16.5" customHeight="1" x14ac:dyDescent="0.4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</row>
    <row r="465" spans="1:26" ht="16.5" customHeight="1" x14ac:dyDescent="0.4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</row>
    <row r="466" spans="1:26" ht="16.5" customHeight="1" x14ac:dyDescent="0.4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</row>
    <row r="467" spans="1:26" ht="16.5" customHeight="1" x14ac:dyDescent="0.4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</row>
    <row r="468" spans="1:26" ht="16.5" customHeight="1" x14ac:dyDescent="0.4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</row>
    <row r="469" spans="1:26" ht="16.5" customHeight="1" x14ac:dyDescent="0.4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</row>
    <row r="470" spans="1:26" ht="16.5" customHeight="1" x14ac:dyDescent="0.4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</row>
    <row r="471" spans="1:26" ht="16.5" customHeight="1" x14ac:dyDescent="0.4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</row>
    <row r="472" spans="1:26" ht="16.5" customHeight="1" x14ac:dyDescent="0.4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</row>
    <row r="473" spans="1:26" ht="16.5" customHeight="1" x14ac:dyDescent="0.4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</row>
    <row r="474" spans="1:26" ht="16.5" customHeight="1" x14ac:dyDescent="0.4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</row>
    <row r="475" spans="1:26" ht="16.5" customHeight="1" x14ac:dyDescent="0.4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</row>
    <row r="476" spans="1:26" ht="16.5" customHeight="1" x14ac:dyDescent="0.4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</row>
    <row r="477" spans="1:26" ht="16.5" customHeight="1" x14ac:dyDescent="0.4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</row>
    <row r="478" spans="1:26" ht="16.5" customHeight="1" x14ac:dyDescent="0.4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</row>
    <row r="479" spans="1:26" ht="16.5" customHeight="1" x14ac:dyDescent="0.4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</row>
    <row r="480" spans="1:26" ht="16.5" customHeight="1" x14ac:dyDescent="0.4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</row>
    <row r="481" spans="1:26" ht="16.5" customHeight="1" x14ac:dyDescent="0.4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</row>
    <row r="482" spans="1:26" ht="16.5" customHeight="1" x14ac:dyDescent="0.4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</row>
    <row r="483" spans="1:26" ht="16.5" customHeight="1" x14ac:dyDescent="0.4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</row>
    <row r="484" spans="1:26" ht="16.5" customHeight="1" x14ac:dyDescent="0.4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</row>
    <row r="485" spans="1:26" ht="16.5" customHeight="1" x14ac:dyDescent="0.4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</row>
    <row r="486" spans="1:26" ht="16.5" customHeight="1" x14ac:dyDescent="0.4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</row>
    <row r="487" spans="1:26" ht="16.5" customHeight="1" x14ac:dyDescent="0.4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</row>
    <row r="488" spans="1:26" ht="16.5" customHeight="1" x14ac:dyDescent="0.4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</row>
    <row r="489" spans="1:26" ht="16.5" customHeight="1" x14ac:dyDescent="0.4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</row>
    <row r="490" spans="1:26" ht="16.5" customHeight="1" x14ac:dyDescent="0.4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</row>
    <row r="491" spans="1:26" ht="16.5" customHeight="1" x14ac:dyDescent="0.4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</row>
    <row r="492" spans="1:26" ht="16.5" customHeight="1" x14ac:dyDescent="0.4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</row>
    <row r="493" spans="1:26" ht="16.5" customHeight="1" x14ac:dyDescent="0.4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</row>
    <row r="494" spans="1:26" ht="16.5" customHeight="1" x14ac:dyDescent="0.4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</row>
    <row r="495" spans="1:26" ht="16.5" customHeight="1" x14ac:dyDescent="0.4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</row>
    <row r="496" spans="1:26" ht="16.5" customHeight="1" x14ac:dyDescent="0.4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</row>
    <row r="497" spans="1:26" ht="16.5" customHeight="1" x14ac:dyDescent="0.4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</row>
    <row r="498" spans="1:26" ht="16.5" customHeight="1" x14ac:dyDescent="0.4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</row>
    <row r="499" spans="1:26" ht="16.5" customHeight="1" x14ac:dyDescent="0.4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</row>
    <row r="500" spans="1:26" ht="16.5" customHeight="1" x14ac:dyDescent="0.4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</row>
    <row r="501" spans="1:26" ht="16.5" customHeight="1" x14ac:dyDescent="0.4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</row>
    <row r="502" spans="1:26" ht="16.5" customHeight="1" x14ac:dyDescent="0.4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</row>
    <row r="503" spans="1:26" ht="16.5" customHeight="1" x14ac:dyDescent="0.4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</row>
    <row r="504" spans="1:26" ht="16.5" customHeight="1" x14ac:dyDescent="0.4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</row>
    <row r="505" spans="1:26" ht="16.5" customHeight="1" x14ac:dyDescent="0.4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</row>
    <row r="506" spans="1:26" ht="16.5" customHeight="1" x14ac:dyDescent="0.4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</row>
    <row r="507" spans="1:26" ht="16.5" customHeight="1" x14ac:dyDescent="0.4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</row>
    <row r="508" spans="1:26" ht="16.5" customHeight="1" x14ac:dyDescent="0.4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</row>
    <row r="509" spans="1:26" ht="16.5" customHeight="1" x14ac:dyDescent="0.4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</row>
    <row r="510" spans="1:26" ht="16.5" customHeight="1" x14ac:dyDescent="0.4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</row>
    <row r="511" spans="1:26" ht="16.5" customHeight="1" x14ac:dyDescent="0.4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</row>
    <row r="512" spans="1:26" ht="16.5" customHeight="1" x14ac:dyDescent="0.4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</row>
    <row r="513" spans="1:26" ht="16.5" customHeight="1" x14ac:dyDescent="0.4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</row>
    <row r="514" spans="1:26" ht="16.5" customHeight="1" x14ac:dyDescent="0.4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</row>
    <row r="515" spans="1:26" ht="16.5" customHeight="1" x14ac:dyDescent="0.4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</row>
    <row r="516" spans="1:26" ht="16.5" customHeight="1" x14ac:dyDescent="0.4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</row>
    <row r="517" spans="1:26" ht="16.5" customHeight="1" x14ac:dyDescent="0.4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</row>
    <row r="518" spans="1:26" ht="16.5" customHeight="1" x14ac:dyDescent="0.4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</row>
    <row r="519" spans="1:26" ht="16.5" customHeight="1" x14ac:dyDescent="0.4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</row>
    <row r="520" spans="1:26" ht="16.5" customHeight="1" x14ac:dyDescent="0.4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</row>
    <row r="521" spans="1:26" ht="16.5" customHeight="1" x14ac:dyDescent="0.4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</row>
    <row r="522" spans="1:26" ht="16.5" customHeight="1" x14ac:dyDescent="0.4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</row>
    <row r="523" spans="1:26" ht="16.5" customHeight="1" x14ac:dyDescent="0.4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</row>
    <row r="524" spans="1:26" ht="16.5" customHeight="1" x14ac:dyDescent="0.4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</row>
    <row r="525" spans="1:26" ht="16.5" customHeight="1" x14ac:dyDescent="0.4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</row>
    <row r="526" spans="1:26" ht="16.5" customHeight="1" x14ac:dyDescent="0.4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</row>
    <row r="527" spans="1:26" ht="16.5" customHeight="1" x14ac:dyDescent="0.4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</row>
    <row r="528" spans="1:26" ht="16.5" customHeight="1" x14ac:dyDescent="0.4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</row>
    <row r="529" spans="1:26" ht="16.5" customHeight="1" x14ac:dyDescent="0.4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</row>
    <row r="530" spans="1:26" ht="16.5" customHeight="1" x14ac:dyDescent="0.4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</row>
    <row r="531" spans="1:26" ht="16.5" customHeight="1" x14ac:dyDescent="0.4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</row>
    <row r="532" spans="1:26" ht="16.5" customHeight="1" x14ac:dyDescent="0.4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</row>
    <row r="533" spans="1:26" ht="16.5" customHeight="1" x14ac:dyDescent="0.4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</row>
    <row r="534" spans="1:26" ht="16.5" customHeight="1" x14ac:dyDescent="0.4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</row>
    <row r="535" spans="1:26" ht="16.5" customHeight="1" x14ac:dyDescent="0.4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</row>
    <row r="536" spans="1:26" ht="16.5" customHeight="1" x14ac:dyDescent="0.4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</row>
    <row r="537" spans="1:26" ht="16.5" customHeight="1" x14ac:dyDescent="0.4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</row>
    <row r="538" spans="1:26" ht="16.5" customHeight="1" x14ac:dyDescent="0.4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</row>
    <row r="539" spans="1:26" ht="16.5" customHeight="1" x14ac:dyDescent="0.4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</row>
    <row r="540" spans="1:26" ht="16.5" customHeight="1" x14ac:dyDescent="0.4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</row>
    <row r="541" spans="1:26" ht="16.5" customHeight="1" x14ac:dyDescent="0.4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</row>
    <row r="542" spans="1:26" ht="16.5" customHeight="1" x14ac:dyDescent="0.4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</row>
    <row r="543" spans="1:26" ht="16.5" customHeight="1" x14ac:dyDescent="0.4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</row>
    <row r="544" spans="1:26" ht="16.5" customHeight="1" x14ac:dyDescent="0.4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</row>
    <row r="545" spans="1:26" ht="16.5" customHeight="1" x14ac:dyDescent="0.4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</row>
    <row r="546" spans="1:26" ht="16.5" customHeight="1" x14ac:dyDescent="0.4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</row>
    <row r="547" spans="1:26" ht="16.5" customHeight="1" x14ac:dyDescent="0.4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</row>
    <row r="548" spans="1:26" ht="16.5" customHeight="1" x14ac:dyDescent="0.4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</row>
    <row r="549" spans="1:26" ht="16.5" customHeight="1" x14ac:dyDescent="0.4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</row>
    <row r="550" spans="1:26" ht="16.5" customHeight="1" x14ac:dyDescent="0.4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</row>
    <row r="551" spans="1:26" ht="16.5" customHeight="1" x14ac:dyDescent="0.4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</row>
    <row r="552" spans="1:26" ht="16.5" customHeight="1" x14ac:dyDescent="0.4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</row>
    <row r="553" spans="1:26" ht="16.5" customHeight="1" x14ac:dyDescent="0.4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</row>
    <row r="554" spans="1:26" ht="16.5" customHeight="1" x14ac:dyDescent="0.4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</row>
    <row r="555" spans="1:26" ht="16.5" customHeight="1" x14ac:dyDescent="0.4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</row>
    <row r="556" spans="1:26" ht="16.5" customHeight="1" x14ac:dyDescent="0.4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</row>
    <row r="557" spans="1:26" ht="16.5" customHeight="1" x14ac:dyDescent="0.4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</row>
    <row r="558" spans="1:26" ht="16.5" customHeight="1" x14ac:dyDescent="0.4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</row>
    <row r="559" spans="1:26" ht="16.5" customHeight="1" x14ac:dyDescent="0.4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</row>
    <row r="560" spans="1:26" ht="16.5" customHeight="1" x14ac:dyDescent="0.4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</row>
    <row r="561" spans="1:26" ht="16.5" customHeight="1" x14ac:dyDescent="0.4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</row>
    <row r="562" spans="1:26" ht="16.5" customHeight="1" x14ac:dyDescent="0.4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</row>
    <row r="563" spans="1:26" ht="16.5" customHeight="1" x14ac:dyDescent="0.4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</row>
    <row r="564" spans="1:26" ht="16.5" customHeight="1" x14ac:dyDescent="0.4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</row>
    <row r="565" spans="1:26" ht="16.5" customHeight="1" x14ac:dyDescent="0.4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</row>
    <row r="566" spans="1:26" ht="16.5" customHeight="1" x14ac:dyDescent="0.4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</row>
    <row r="567" spans="1:26" ht="16.5" customHeight="1" x14ac:dyDescent="0.4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</row>
    <row r="568" spans="1:26" ht="16.5" customHeight="1" x14ac:dyDescent="0.4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</row>
    <row r="569" spans="1:26" ht="16.5" customHeight="1" x14ac:dyDescent="0.4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</row>
    <row r="570" spans="1:26" ht="16.5" customHeight="1" x14ac:dyDescent="0.4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</row>
    <row r="571" spans="1:26" ht="16.5" customHeight="1" x14ac:dyDescent="0.4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</row>
    <row r="572" spans="1:26" ht="16.5" customHeight="1" x14ac:dyDescent="0.4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</row>
    <row r="573" spans="1:26" ht="16.5" customHeight="1" x14ac:dyDescent="0.4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</row>
    <row r="574" spans="1:26" ht="16.5" customHeight="1" x14ac:dyDescent="0.4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</row>
    <row r="575" spans="1:26" ht="16.5" customHeight="1" x14ac:dyDescent="0.4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</row>
    <row r="576" spans="1:26" ht="16.5" customHeight="1" x14ac:dyDescent="0.4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</row>
    <row r="577" spans="1:26" ht="16.5" customHeight="1" x14ac:dyDescent="0.4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</row>
    <row r="578" spans="1:26" ht="16.5" customHeight="1" x14ac:dyDescent="0.4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</row>
    <row r="579" spans="1:26" ht="16.5" customHeight="1" x14ac:dyDescent="0.4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</row>
    <row r="580" spans="1:26" ht="16.5" customHeight="1" x14ac:dyDescent="0.4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</row>
    <row r="581" spans="1:26" ht="16.5" customHeight="1" x14ac:dyDescent="0.4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</row>
    <row r="582" spans="1:26" ht="16.5" customHeight="1" x14ac:dyDescent="0.4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</row>
    <row r="583" spans="1:26" ht="16.5" customHeight="1" x14ac:dyDescent="0.4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</row>
    <row r="584" spans="1:26" ht="16.5" customHeight="1" x14ac:dyDescent="0.4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</row>
    <row r="585" spans="1:26" ht="16.5" customHeight="1" x14ac:dyDescent="0.4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</row>
    <row r="586" spans="1:26" ht="16.5" customHeight="1" x14ac:dyDescent="0.4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</row>
    <row r="587" spans="1:26" ht="16.5" customHeight="1" x14ac:dyDescent="0.4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</row>
    <row r="588" spans="1:26" ht="16.5" customHeight="1" x14ac:dyDescent="0.4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</row>
    <row r="589" spans="1:26" ht="16.5" customHeight="1" x14ac:dyDescent="0.4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</row>
    <row r="590" spans="1:26" ht="16.5" customHeight="1" x14ac:dyDescent="0.4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</row>
    <row r="591" spans="1:26" ht="16.5" customHeight="1" x14ac:dyDescent="0.4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</row>
    <row r="592" spans="1:26" ht="16.5" customHeight="1" x14ac:dyDescent="0.4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</row>
    <row r="593" spans="1:26" ht="16.5" customHeight="1" x14ac:dyDescent="0.4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</row>
    <row r="594" spans="1:26" ht="16.5" customHeight="1" x14ac:dyDescent="0.4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</row>
    <row r="595" spans="1:26" ht="16.5" customHeight="1" x14ac:dyDescent="0.4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</row>
    <row r="596" spans="1:26" ht="16.5" customHeight="1" x14ac:dyDescent="0.4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</row>
    <row r="597" spans="1:26" ht="16.5" customHeight="1" x14ac:dyDescent="0.4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</row>
    <row r="598" spans="1:26" ht="16.5" customHeight="1" x14ac:dyDescent="0.4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</row>
    <row r="599" spans="1:26" ht="16.5" customHeight="1" x14ac:dyDescent="0.4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</row>
    <row r="600" spans="1:26" ht="16.5" customHeight="1" x14ac:dyDescent="0.4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</row>
    <row r="601" spans="1:26" ht="16.5" customHeight="1" x14ac:dyDescent="0.4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</row>
    <row r="602" spans="1:26" ht="16.5" customHeight="1" x14ac:dyDescent="0.4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</row>
    <row r="603" spans="1:26" ht="16.5" customHeight="1" x14ac:dyDescent="0.4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</row>
    <row r="604" spans="1:26" ht="16.5" customHeight="1" x14ac:dyDescent="0.4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</row>
    <row r="605" spans="1:26" ht="16.5" customHeight="1" x14ac:dyDescent="0.4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</row>
    <row r="606" spans="1:26" ht="16.5" customHeight="1" x14ac:dyDescent="0.4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</row>
    <row r="607" spans="1:26" ht="16.5" customHeight="1" x14ac:dyDescent="0.4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</row>
    <row r="608" spans="1:26" ht="16.5" customHeight="1" x14ac:dyDescent="0.4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</row>
    <row r="609" spans="1:26" ht="16.5" customHeight="1" x14ac:dyDescent="0.4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</row>
    <row r="610" spans="1:26" ht="16.5" customHeight="1" x14ac:dyDescent="0.4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</row>
    <row r="611" spans="1:26" ht="16.5" customHeight="1" x14ac:dyDescent="0.4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</row>
    <row r="612" spans="1:26" ht="16.5" customHeight="1" x14ac:dyDescent="0.4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</row>
    <row r="613" spans="1:26" ht="16.5" customHeight="1" x14ac:dyDescent="0.4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</row>
    <row r="614" spans="1:26" ht="16.5" customHeight="1" x14ac:dyDescent="0.4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</row>
    <row r="615" spans="1:26" ht="16.5" customHeight="1" x14ac:dyDescent="0.4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</row>
    <row r="616" spans="1:26" ht="16.5" customHeight="1" x14ac:dyDescent="0.4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</row>
    <row r="617" spans="1:26" ht="16.5" customHeight="1" x14ac:dyDescent="0.4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</row>
    <row r="618" spans="1:26" ht="16.5" customHeight="1" x14ac:dyDescent="0.4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</row>
    <row r="619" spans="1:26" ht="16.5" customHeight="1" x14ac:dyDescent="0.4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</row>
    <row r="620" spans="1:26" ht="16.5" customHeight="1" x14ac:dyDescent="0.4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</row>
    <row r="621" spans="1:26" ht="16.5" customHeight="1" x14ac:dyDescent="0.4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</row>
    <row r="622" spans="1:26" ht="16.5" customHeight="1" x14ac:dyDescent="0.4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</row>
    <row r="623" spans="1:26" ht="16.5" customHeight="1" x14ac:dyDescent="0.4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</row>
    <row r="624" spans="1:26" ht="16.5" customHeight="1" x14ac:dyDescent="0.4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</row>
    <row r="625" spans="1:26" ht="16.5" customHeight="1" x14ac:dyDescent="0.4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</row>
    <row r="626" spans="1:26" ht="16.5" customHeight="1" x14ac:dyDescent="0.4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</row>
    <row r="627" spans="1:26" ht="16.5" customHeight="1" x14ac:dyDescent="0.4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</row>
    <row r="628" spans="1:26" ht="16.5" customHeight="1" x14ac:dyDescent="0.4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</row>
    <row r="629" spans="1:26" ht="16.5" customHeight="1" x14ac:dyDescent="0.4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</row>
    <row r="630" spans="1:26" ht="16.5" customHeight="1" x14ac:dyDescent="0.4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</row>
    <row r="631" spans="1:26" ht="16.5" customHeight="1" x14ac:dyDescent="0.4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</row>
    <row r="632" spans="1:26" ht="16.5" customHeight="1" x14ac:dyDescent="0.4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</row>
    <row r="633" spans="1:26" ht="16.5" customHeight="1" x14ac:dyDescent="0.4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</row>
    <row r="634" spans="1:26" ht="16.5" customHeight="1" x14ac:dyDescent="0.4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</row>
    <row r="635" spans="1:26" ht="16.5" customHeight="1" x14ac:dyDescent="0.4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</row>
    <row r="636" spans="1:26" ht="16.5" customHeight="1" x14ac:dyDescent="0.4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</row>
    <row r="637" spans="1:26" ht="16.5" customHeight="1" x14ac:dyDescent="0.4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</row>
    <row r="638" spans="1:26" ht="16.5" customHeight="1" x14ac:dyDescent="0.4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</row>
    <row r="639" spans="1:26" ht="16.5" customHeight="1" x14ac:dyDescent="0.4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</row>
    <row r="640" spans="1:26" ht="16.5" customHeight="1" x14ac:dyDescent="0.4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</row>
    <row r="641" spans="1:26" ht="16.5" customHeight="1" x14ac:dyDescent="0.4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</row>
    <row r="642" spans="1:26" ht="16.5" customHeight="1" x14ac:dyDescent="0.4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</row>
    <row r="643" spans="1:26" ht="16.5" customHeight="1" x14ac:dyDescent="0.4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</row>
    <row r="644" spans="1:26" ht="16.5" customHeight="1" x14ac:dyDescent="0.4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</row>
    <row r="645" spans="1:26" ht="16.5" customHeight="1" x14ac:dyDescent="0.4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</row>
    <row r="646" spans="1:26" ht="16.5" customHeight="1" x14ac:dyDescent="0.4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</row>
    <row r="647" spans="1:26" ht="16.5" customHeight="1" x14ac:dyDescent="0.4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</row>
    <row r="648" spans="1:26" ht="16.5" customHeight="1" x14ac:dyDescent="0.4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</row>
    <row r="649" spans="1:26" ht="16.5" customHeight="1" x14ac:dyDescent="0.4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</row>
    <row r="650" spans="1:26" ht="16.5" customHeight="1" x14ac:dyDescent="0.4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</row>
    <row r="651" spans="1:26" ht="16.5" customHeight="1" x14ac:dyDescent="0.4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</row>
    <row r="652" spans="1:26" ht="16.5" customHeight="1" x14ac:dyDescent="0.4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</row>
    <row r="653" spans="1:26" ht="16.5" customHeight="1" x14ac:dyDescent="0.4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</row>
    <row r="654" spans="1:26" ht="16.5" customHeight="1" x14ac:dyDescent="0.4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</row>
    <row r="655" spans="1:26" ht="16.5" customHeight="1" x14ac:dyDescent="0.4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</row>
    <row r="656" spans="1:26" ht="16.5" customHeight="1" x14ac:dyDescent="0.4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</row>
    <row r="657" spans="1:26" ht="16.5" customHeight="1" x14ac:dyDescent="0.4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</row>
    <row r="658" spans="1:26" ht="16.5" customHeight="1" x14ac:dyDescent="0.4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</row>
    <row r="659" spans="1:26" ht="16.5" customHeight="1" x14ac:dyDescent="0.4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</row>
    <row r="660" spans="1:26" ht="16.5" customHeight="1" x14ac:dyDescent="0.4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</row>
    <row r="661" spans="1:26" ht="16.5" customHeight="1" x14ac:dyDescent="0.4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</row>
    <row r="662" spans="1:26" ht="16.5" customHeight="1" x14ac:dyDescent="0.4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</row>
    <row r="663" spans="1:26" ht="16.5" customHeight="1" x14ac:dyDescent="0.4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</row>
    <row r="664" spans="1:26" ht="16.5" customHeight="1" x14ac:dyDescent="0.4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</row>
    <row r="665" spans="1:26" ht="16.5" customHeight="1" x14ac:dyDescent="0.4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</row>
    <row r="666" spans="1:26" ht="16.5" customHeight="1" x14ac:dyDescent="0.4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</row>
    <row r="667" spans="1:26" ht="16.5" customHeight="1" x14ac:dyDescent="0.4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</row>
    <row r="668" spans="1:26" ht="16.5" customHeight="1" x14ac:dyDescent="0.4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</row>
    <row r="669" spans="1:26" ht="16.5" customHeight="1" x14ac:dyDescent="0.4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</row>
    <row r="670" spans="1:26" ht="16.5" customHeight="1" x14ac:dyDescent="0.4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</row>
    <row r="671" spans="1:26" ht="16.5" customHeight="1" x14ac:dyDescent="0.4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</row>
    <row r="672" spans="1:26" ht="16.5" customHeight="1" x14ac:dyDescent="0.4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</row>
    <row r="673" spans="1:26" ht="16.5" customHeight="1" x14ac:dyDescent="0.4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</row>
    <row r="674" spans="1:26" ht="16.5" customHeight="1" x14ac:dyDescent="0.4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</row>
    <row r="675" spans="1:26" ht="16.5" customHeight="1" x14ac:dyDescent="0.4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</row>
    <row r="676" spans="1:26" ht="16.5" customHeight="1" x14ac:dyDescent="0.4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</row>
    <row r="677" spans="1:26" ht="16.5" customHeight="1" x14ac:dyDescent="0.4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</row>
    <row r="678" spans="1:26" ht="16.5" customHeight="1" x14ac:dyDescent="0.4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</row>
    <row r="679" spans="1:26" ht="16.5" customHeight="1" x14ac:dyDescent="0.4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</row>
    <row r="680" spans="1:26" ht="16.5" customHeight="1" x14ac:dyDescent="0.4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</row>
    <row r="681" spans="1:26" ht="16.5" customHeight="1" x14ac:dyDescent="0.4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</row>
    <row r="682" spans="1:26" ht="16.5" customHeight="1" x14ac:dyDescent="0.4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</row>
    <row r="683" spans="1:26" ht="16.5" customHeight="1" x14ac:dyDescent="0.4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</row>
    <row r="684" spans="1:26" ht="16.5" customHeight="1" x14ac:dyDescent="0.4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</row>
    <row r="685" spans="1:26" ht="16.5" customHeight="1" x14ac:dyDescent="0.4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</row>
    <row r="686" spans="1:26" ht="16.5" customHeight="1" x14ac:dyDescent="0.4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</row>
    <row r="687" spans="1:26" ht="16.5" customHeight="1" x14ac:dyDescent="0.4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</row>
    <row r="688" spans="1:26" ht="16.5" customHeight="1" x14ac:dyDescent="0.4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</row>
    <row r="689" spans="1:26" ht="16.5" customHeight="1" x14ac:dyDescent="0.4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</row>
    <row r="690" spans="1:26" ht="16.5" customHeight="1" x14ac:dyDescent="0.4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</row>
    <row r="691" spans="1:26" ht="16.5" customHeight="1" x14ac:dyDescent="0.4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</row>
    <row r="692" spans="1:26" ht="16.5" customHeight="1" x14ac:dyDescent="0.4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</row>
    <row r="693" spans="1:26" ht="16.5" customHeight="1" x14ac:dyDescent="0.4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</row>
    <row r="694" spans="1:26" ht="16.5" customHeight="1" x14ac:dyDescent="0.4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</row>
    <row r="695" spans="1:26" ht="16.5" customHeight="1" x14ac:dyDescent="0.4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</row>
    <row r="696" spans="1:26" ht="16.5" customHeight="1" x14ac:dyDescent="0.4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</row>
    <row r="697" spans="1:26" ht="16.5" customHeight="1" x14ac:dyDescent="0.4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</row>
    <row r="698" spans="1:26" ht="16.5" customHeight="1" x14ac:dyDescent="0.4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</row>
    <row r="699" spans="1:26" ht="16.5" customHeight="1" x14ac:dyDescent="0.4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</row>
    <row r="700" spans="1:26" ht="16.5" customHeight="1" x14ac:dyDescent="0.4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</row>
    <row r="701" spans="1:26" ht="16.5" customHeight="1" x14ac:dyDescent="0.4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</row>
    <row r="702" spans="1:26" ht="16.5" customHeight="1" x14ac:dyDescent="0.4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</row>
    <row r="703" spans="1:26" ht="16.5" customHeight="1" x14ac:dyDescent="0.4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</row>
    <row r="704" spans="1:26" ht="16.5" customHeight="1" x14ac:dyDescent="0.4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</row>
    <row r="705" spans="1:26" ht="16.5" customHeight="1" x14ac:dyDescent="0.4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</row>
    <row r="706" spans="1:26" ht="16.5" customHeight="1" x14ac:dyDescent="0.4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</row>
    <row r="707" spans="1:26" ht="16.5" customHeight="1" x14ac:dyDescent="0.4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</row>
    <row r="708" spans="1:26" ht="16.5" customHeight="1" x14ac:dyDescent="0.4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</row>
    <row r="709" spans="1:26" ht="16.5" customHeight="1" x14ac:dyDescent="0.4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</row>
    <row r="710" spans="1:26" ht="16.5" customHeight="1" x14ac:dyDescent="0.4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</row>
    <row r="711" spans="1:26" ht="16.5" customHeight="1" x14ac:dyDescent="0.4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</row>
    <row r="712" spans="1:26" ht="16.5" customHeight="1" x14ac:dyDescent="0.4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</row>
    <row r="713" spans="1:26" ht="16.5" customHeight="1" x14ac:dyDescent="0.4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</row>
    <row r="714" spans="1:26" ht="16.5" customHeight="1" x14ac:dyDescent="0.4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</row>
    <row r="715" spans="1:26" ht="16.5" customHeight="1" x14ac:dyDescent="0.4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</row>
    <row r="716" spans="1:26" ht="16.5" customHeight="1" x14ac:dyDescent="0.4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</row>
    <row r="717" spans="1:26" ht="16.5" customHeight="1" x14ac:dyDescent="0.4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</row>
    <row r="718" spans="1:26" ht="16.5" customHeight="1" x14ac:dyDescent="0.4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</row>
    <row r="719" spans="1:26" ht="16.5" customHeight="1" x14ac:dyDescent="0.4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</row>
    <row r="720" spans="1:26" ht="16.5" customHeight="1" x14ac:dyDescent="0.4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</row>
    <row r="721" spans="1:26" ht="16.5" customHeight="1" x14ac:dyDescent="0.4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</row>
    <row r="722" spans="1:26" ht="16.5" customHeight="1" x14ac:dyDescent="0.4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</row>
    <row r="723" spans="1:26" ht="16.5" customHeight="1" x14ac:dyDescent="0.4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</row>
    <row r="724" spans="1:26" ht="16.5" customHeight="1" x14ac:dyDescent="0.4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</row>
    <row r="725" spans="1:26" ht="16.5" customHeight="1" x14ac:dyDescent="0.4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</row>
    <row r="726" spans="1:26" ht="16.5" customHeight="1" x14ac:dyDescent="0.4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</row>
    <row r="727" spans="1:26" ht="16.5" customHeight="1" x14ac:dyDescent="0.4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</row>
    <row r="728" spans="1:26" ht="16.5" customHeight="1" x14ac:dyDescent="0.4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</row>
    <row r="729" spans="1:26" ht="16.5" customHeight="1" x14ac:dyDescent="0.4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</row>
    <row r="730" spans="1:26" ht="16.5" customHeight="1" x14ac:dyDescent="0.4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</row>
    <row r="731" spans="1:26" ht="16.5" customHeight="1" x14ac:dyDescent="0.4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</row>
    <row r="732" spans="1:26" ht="16.5" customHeight="1" x14ac:dyDescent="0.4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</row>
    <row r="733" spans="1:26" ht="16.5" customHeight="1" x14ac:dyDescent="0.4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</row>
    <row r="734" spans="1:26" ht="16.5" customHeight="1" x14ac:dyDescent="0.4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</row>
    <row r="735" spans="1:26" ht="16.5" customHeight="1" x14ac:dyDescent="0.4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</row>
    <row r="736" spans="1:26" ht="16.5" customHeight="1" x14ac:dyDescent="0.4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</row>
    <row r="737" spans="1:26" ht="16.5" customHeight="1" x14ac:dyDescent="0.4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</row>
    <row r="738" spans="1:26" ht="16.5" customHeight="1" x14ac:dyDescent="0.4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</row>
    <row r="739" spans="1:26" ht="16.5" customHeight="1" x14ac:dyDescent="0.4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</row>
    <row r="740" spans="1:26" ht="16.5" customHeight="1" x14ac:dyDescent="0.4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</row>
    <row r="741" spans="1:26" ht="16.5" customHeight="1" x14ac:dyDescent="0.4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</row>
    <row r="742" spans="1:26" ht="16.5" customHeight="1" x14ac:dyDescent="0.4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</row>
    <row r="743" spans="1:26" ht="16.5" customHeight="1" x14ac:dyDescent="0.4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</row>
    <row r="744" spans="1:26" ht="16.5" customHeight="1" x14ac:dyDescent="0.4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</row>
    <row r="745" spans="1:26" ht="16.5" customHeight="1" x14ac:dyDescent="0.4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</row>
    <row r="746" spans="1:26" ht="16.5" customHeight="1" x14ac:dyDescent="0.4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</row>
    <row r="747" spans="1:26" ht="16.5" customHeight="1" x14ac:dyDescent="0.4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</row>
    <row r="748" spans="1:26" ht="16.5" customHeight="1" x14ac:dyDescent="0.4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</row>
    <row r="749" spans="1:26" ht="16.5" customHeight="1" x14ac:dyDescent="0.4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</row>
    <row r="750" spans="1:26" ht="16.5" customHeight="1" x14ac:dyDescent="0.4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</row>
    <row r="751" spans="1:26" ht="16.5" customHeight="1" x14ac:dyDescent="0.4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</row>
    <row r="752" spans="1:26" ht="16.5" customHeight="1" x14ac:dyDescent="0.4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</row>
    <row r="753" spans="1:26" ht="16.5" customHeight="1" x14ac:dyDescent="0.4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</row>
    <row r="754" spans="1:26" ht="16.5" customHeight="1" x14ac:dyDescent="0.4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</row>
    <row r="755" spans="1:26" ht="16.5" customHeight="1" x14ac:dyDescent="0.4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</row>
    <row r="756" spans="1:26" ht="16.5" customHeight="1" x14ac:dyDescent="0.4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</row>
    <row r="757" spans="1:26" ht="16.5" customHeight="1" x14ac:dyDescent="0.4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</row>
    <row r="758" spans="1:26" ht="16.5" customHeight="1" x14ac:dyDescent="0.4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</row>
    <row r="759" spans="1:26" ht="16.5" customHeight="1" x14ac:dyDescent="0.4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</row>
    <row r="760" spans="1:26" ht="16.5" customHeight="1" x14ac:dyDescent="0.4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</row>
    <row r="761" spans="1:26" ht="16.5" customHeight="1" x14ac:dyDescent="0.4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</row>
    <row r="762" spans="1:26" ht="16.5" customHeight="1" x14ac:dyDescent="0.4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</row>
    <row r="763" spans="1:26" ht="16.5" customHeight="1" x14ac:dyDescent="0.4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</row>
    <row r="764" spans="1:26" ht="16.5" customHeight="1" x14ac:dyDescent="0.4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</row>
    <row r="765" spans="1:26" ht="16.5" customHeight="1" x14ac:dyDescent="0.4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</row>
    <row r="766" spans="1:26" ht="16.5" customHeight="1" x14ac:dyDescent="0.4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</row>
    <row r="767" spans="1:26" ht="16.5" customHeight="1" x14ac:dyDescent="0.4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</row>
    <row r="768" spans="1:26" ht="16.5" customHeight="1" x14ac:dyDescent="0.4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</row>
    <row r="769" spans="1:26" ht="16.5" customHeight="1" x14ac:dyDescent="0.4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</row>
    <row r="770" spans="1:26" ht="16.5" customHeight="1" x14ac:dyDescent="0.4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</row>
    <row r="771" spans="1:26" ht="16.5" customHeight="1" x14ac:dyDescent="0.4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</row>
    <row r="772" spans="1:26" ht="16.5" customHeight="1" x14ac:dyDescent="0.4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</row>
    <row r="773" spans="1:26" ht="16.5" customHeight="1" x14ac:dyDescent="0.4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</row>
    <row r="774" spans="1:26" ht="16.5" customHeight="1" x14ac:dyDescent="0.4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</row>
    <row r="775" spans="1:26" ht="16.5" customHeight="1" x14ac:dyDescent="0.4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</row>
    <row r="776" spans="1:26" ht="16.5" customHeight="1" x14ac:dyDescent="0.4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</row>
    <row r="777" spans="1:26" ht="16.5" customHeight="1" x14ac:dyDescent="0.4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</row>
    <row r="778" spans="1:26" ht="16.5" customHeight="1" x14ac:dyDescent="0.4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</row>
    <row r="779" spans="1:26" ht="16.5" customHeight="1" x14ac:dyDescent="0.4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</row>
    <row r="780" spans="1:26" ht="16.5" customHeight="1" x14ac:dyDescent="0.4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</row>
    <row r="781" spans="1:26" ht="16.5" customHeight="1" x14ac:dyDescent="0.4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</row>
    <row r="782" spans="1:26" ht="16.5" customHeight="1" x14ac:dyDescent="0.4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</row>
    <row r="783" spans="1:26" ht="16.5" customHeight="1" x14ac:dyDescent="0.4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</row>
    <row r="784" spans="1:26" ht="16.5" customHeight="1" x14ac:dyDescent="0.4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</row>
    <row r="785" spans="1:26" ht="16.5" customHeight="1" x14ac:dyDescent="0.4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</row>
    <row r="786" spans="1:26" ht="16.5" customHeight="1" x14ac:dyDescent="0.4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</row>
    <row r="787" spans="1:26" ht="16.5" customHeight="1" x14ac:dyDescent="0.4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</row>
    <row r="788" spans="1:26" ht="16.5" customHeight="1" x14ac:dyDescent="0.4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</row>
    <row r="789" spans="1:26" ht="16.5" customHeight="1" x14ac:dyDescent="0.4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</row>
    <row r="790" spans="1:26" ht="16.5" customHeight="1" x14ac:dyDescent="0.4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</row>
    <row r="791" spans="1:26" ht="16.5" customHeight="1" x14ac:dyDescent="0.4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</row>
    <row r="792" spans="1:26" ht="16.5" customHeight="1" x14ac:dyDescent="0.4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</row>
    <row r="793" spans="1:26" ht="16.5" customHeight="1" x14ac:dyDescent="0.4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</row>
    <row r="794" spans="1:26" ht="16.5" customHeight="1" x14ac:dyDescent="0.4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</row>
    <row r="795" spans="1:26" ht="16.5" customHeight="1" x14ac:dyDescent="0.4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</row>
    <row r="796" spans="1:26" ht="16.5" customHeight="1" x14ac:dyDescent="0.4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</row>
    <row r="797" spans="1:26" ht="16.5" customHeight="1" x14ac:dyDescent="0.4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</row>
    <row r="798" spans="1:26" ht="16.5" customHeight="1" x14ac:dyDescent="0.4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</row>
    <row r="799" spans="1:26" ht="16.5" customHeight="1" x14ac:dyDescent="0.4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</row>
    <row r="800" spans="1:26" ht="16.5" customHeight="1" x14ac:dyDescent="0.4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</row>
    <row r="801" spans="1:26" ht="16.5" customHeight="1" x14ac:dyDescent="0.4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</row>
    <row r="802" spans="1:26" ht="16.5" customHeight="1" x14ac:dyDescent="0.4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</row>
    <row r="803" spans="1:26" ht="16.5" customHeight="1" x14ac:dyDescent="0.4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</row>
    <row r="804" spans="1:26" ht="16.5" customHeight="1" x14ac:dyDescent="0.4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</row>
    <row r="805" spans="1:26" ht="16.5" customHeight="1" x14ac:dyDescent="0.4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</row>
    <row r="806" spans="1:26" ht="16.5" customHeight="1" x14ac:dyDescent="0.4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</row>
    <row r="807" spans="1:26" ht="16.5" customHeight="1" x14ac:dyDescent="0.4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</row>
    <row r="808" spans="1:26" ht="16.5" customHeight="1" x14ac:dyDescent="0.4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</row>
    <row r="809" spans="1:26" ht="16.5" customHeight="1" x14ac:dyDescent="0.4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</row>
    <row r="810" spans="1:26" ht="16.5" customHeight="1" x14ac:dyDescent="0.4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</row>
    <row r="811" spans="1:26" ht="16.5" customHeight="1" x14ac:dyDescent="0.4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</row>
    <row r="812" spans="1:26" ht="16.5" customHeight="1" x14ac:dyDescent="0.4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</row>
    <row r="813" spans="1:26" ht="16.5" customHeight="1" x14ac:dyDescent="0.4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</row>
    <row r="814" spans="1:26" ht="16.5" customHeight="1" x14ac:dyDescent="0.4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</row>
    <row r="815" spans="1:26" ht="16.5" customHeight="1" x14ac:dyDescent="0.4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</row>
    <row r="816" spans="1:26" ht="16.5" customHeight="1" x14ac:dyDescent="0.4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</row>
    <row r="817" spans="1:26" ht="16.5" customHeight="1" x14ac:dyDescent="0.4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</row>
    <row r="818" spans="1:26" ht="16.5" customHeight="1" x14ac:dyDescent="0.4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</row>
    <row r="819" spans="1:26" ht="16.5" customHeight="1" x14ac:dyDescent="0.4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</row>
    <row r="820" spans="1:26" ht="16.5" customHeight="1" x14ac:dyDescent="0.4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</row>
    <row r="821" spans="1:26" ht="16.5" customHeight="1" x14ac:dyDescent="0.4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</row>
    <row r="822" spans="1:26" ht="16.5" customHeight="1" x14ac:dyDescent="0.4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</row>
    <row r="823" spans="1:26" ht="16.5" customHeight="1" x14ac:dyDescent="0.4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</row>
    <row r="824" spans="1:26" ht="16.5" customHeight="1" x14ac:dyDescent="0.4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</row>
    <row r="825" spans="1:26" ht="16.5" customHeight="1" x14ac:dyDescent="0.4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</row>
    <row r="826" spans="1:26" ht="16.5" customHeight="1" x14ac:dyDescent="0.4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</row>
    <row r="827" spans="1:26" ht="16.5" customHeight="1" x14ac:dyDescent="0.4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</row>
    <row r="828" spans="1:26" ht="16.5" customHeight="1" x14ac:dyDescent="0.4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</row>
    <row r="829" spans="1:26" ht="16.5" customHeight="1" x14ac:dyDescent="0.4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</row>
    <row r="830" spans="1:26" ht="16.5" customHeight="1" x14ac:dyDescent="0.4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</row>
    <row r="831" spans="1:26" ht="16.5" customHeight="1" x14ac:dyDescent="0.4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</row>
    <row r="832" spans="1:26" ht="16.5" customHeight="1" x14ac:dyDescent="0.4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</row>
    <row r="833" spans="1:26" ht="16.5" customHeight="1" x14ac:dyDescent="0.4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</row>
    <row r="834" spans="1:26" ht="16.5" customHeight="1" x14ac:dyDescent="0.4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</row>
    <row r="835" spans="1:26" ht="16.5" customHeight="1" x14ac:dyDescent="0.4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</row>
    <row r="836" spans="1:26" ht="16.5" customHeight="1" x14ac:dyDescent="0.4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</row>
    <row r="837" spans="1:26" ht="16.5" customHeight="1" x14ac:dyDescent="0.4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</row>
    <row r="838" spans="1:26" ht="16.5" customHeight="1" x14ac:dyDescent="0.4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</row>
    <row r="839" spans="1:26" ht="16.5" customHeight="1" x14ac:dyDescent="0.4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</row>
    <row r="840" spans="1:26" ht="16.5" customHeight="1" x14ac:dyDescent="0.4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</row>
    <row r="841" spans="1:26" ht="16.5" customHeight="1" x14ac:dyDescent="0.4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</row>
    <row r="842" spans="1:26" ht="16.5" customHeight="1" x14ac:dyDescent="0.4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</row>
    <row r="843" spans="1:26" ht="16.5" customHeight="1" x14ac:dyDescent="0.4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</row>
    <row r="844" spans="1:26" ht="16.5" customHeight="1" x14ac:dyDescent="0.4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</row>
    <row r="845" spans="1:26" ht="16.5" customHeight="1" x14ac:dyDescent="0.4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</row>
    <row r="846" spans="1:26" ht="16.5" customHeight="1" x14ac:dyDescent="0.4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</row>
    <row r="847" spans="1:26" ht="16.5" customHeight="1" x14ac:dyDescent="0.4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</row>
    <row r="848" spans="1:26" ht="16.5" customHeight="1" x14ac:dyDescent="0.4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</row>
    <row r="849" spans="1:26" ht="16.5" customHeight="1" x14ac:dyDescent="0.4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</row>
    <row r="850" spans="1:26" ht="16.5" customHeight="1" x14ac:dyDescent="0.4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</row>
    <row r="851" spans="1:26" ht="16.5" customHeight="1" x14ac:dyDescent="0.4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</row>
    <row r="852" spans="1:26" ht="16.5" customHeight="1" x14ac:dyDescent="0.4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</row>
    <row r="853" spans="1:26" ht="16.5" customHeight="1" x14ac:dyDescent="0.4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</row>
    <row r="854" spans="1:26" ht="16.5" customHeight="1" x14ac:dyDescent="0.4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</row>
    <row r="855" spans="1:26" ht="16.5" customHeight="1" x14ac:dyDescent="0.4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</row>
    <row r="856" spans="1:26" ht="16.5" customHeight="1" x14ac:dyDescent="0.4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</row>
    <row r="857" spans="1:26" ht="16.5" customHeight="1" x14ac:dyDescent="0.4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</row>
    <row r="858" spans="1:26" ht="16.5" customHeight="1" x14ac:dyDescent="0.4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</row>
    <row r="859" spans="1:26" ht="16.5" customHeight="1" x14ac:dyDescent="0.4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</row>
    <row r="860" spans="1:26" ht="16.5" customHeight="1" x14ac:dyDescent="0.4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</row>
    <row r="861" spans="1:26" ht="16.5" customHeight="1" x14ac:dyDescent="0.4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</row>
    <row r="862" spans="1:26" ht="16.5" customHeight="1" x14ac:dyDescent="0.4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</row>
    <row r="863" spans="1:26" ht="16.5" customHeight="1" x14ac:dyDescent="0.4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</row>
    <row r="864" spans="1:26" ht="16.5" customHeight="1" x14ac:dyDescent="0.4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</row>
    <row r="865" spans="1:26" ht="16.5" customHeight="1" x14ac:dyDescent="0.4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</row>
    <row r="866" spans="1:26" ht="16.5" customHeight="1" x14ac:dyDescent="0.4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</row>
    <row r="867" spans="1:26" ht="16.5" customHeight="1" x14ac:dyDescent="0.4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</row>
    <row r="868" spans="1:26" ht="16.5" customHeight="1" x14ac:dyDescent="0.4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</row>
    <row r="869" spans="1:26" ht="16.5" customHeight="1" x14ac:dyDescent="0.4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</row>
    <row r="870" spans="1:26" ht="16.5" customHeight="1" x14ac:dyDescent="0.4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</row>
    <row r="871" spans="1:26" ht="16.5" customHeight="1" x14ac:dyDescent="0.4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</row>
    <row r="872" spans="1:26" ht="16.5" customHeight="1" x14ac:dyDescent="0.4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</row>
    <row r="873" spans="1:26" ht="16.5" customHeight="1" x14ac:dyDescent="0.4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</row>
    <row r="874" spans="1:26" ht="16.5" customHeight="1" x14ac:dyDescent="0.4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</row>
    <row r="875" spans="1:26" ht="16.5" customHeight="1" x14ac:dyDescent="0.4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</row>
    <row r="876" spans="1:26" ht="16.5" customHeight="1" x14ac:dyDescent="0.4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</row>
    <row r="877" spans="1:26" ht="16.5" customHeight="1" x14ac:dyDescent="0.4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</row>
    <row r="878" spans="1:26" ht="16.5" customHeight="1" x14ac:dyDescent="0.4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</row>
    <row r="879" spans="1:26" ht="16.5" customHeight="1" x14ac:dyDescent="0.4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</row>
    <row r="880" spans="1:26" ht="16.5" customHeight="1" x14ac:dyDescent="0.4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</row>
    <row r="881" spans="1:26" ht="16.5" customHeight="1" x14ac:dyDescent="0.4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</row>
    <row r="882" spans="1:26" ht="16.5" customHeight="1" x14ac:dyDescent="0.4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</row>
    <row r="883" spans="1:26" ht="16.5" customHeight="1" x14ac:dyDescent="0.4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</row>
    <row r="884" spans="1:26" ht="16.5" customHeight="1" x14ac:dyDescent="0.4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</row>
    <row r="885" spans="1:26" ht="16.5" customHeight="1" x14ac:dyDescent="0.4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</row>
    <row r="886" spans="1:26" ht="16.5" customHeight="1" x14ac:dyDescent="0.4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</row>
    <row r="887" spans="1:26" ht="16.5" customHeight="1" x14ac:dyDescent="0.4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</row>
    <row r="888" spans="1:26" ht="16.5" customHeight="1" x14ac:dyDescent="0.4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</row>
    <row r="889" spans="1:26" ht="16.5" customHeight="1" x14ac:dyDescent="0.4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</row>
    <row r="890" spans="1:26" ht="16.5" customHeight="1" x14ac:dyDescent="0.4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</row>
    <row r="891" spans="1:26" ht="16.5" customHeight="1" x14ac:dyDescent="0.4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</row>
    <row r="892" spans="1:26" ht="16.5" customHeight="1" x14ac:dyDescent="0.4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</row>
    <row r="893" spans="1:26" ht="16.5" customHeight="1" x14ac:dyDescent="0.4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</row>
    <row r="894" spans="1:26" ht="16.5" customHeight="1" x14ac:dyDescent="0.4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</row>
    <row r="895" spans="1:26" ht="16.5" customHeight="1" x14ac:dyDescent="0.4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</row>
    <row r="896" spans="1:26" ht="16.5" customHeight="1" x14ac:dyDescent="0.4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</row>
    <row r="897" spans="1:26" ht="16.5" customHeight="1" x14ac:dyDescent="0.4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</row>
    <row r="898" spans="1:26" ht="16.5" customHeight="1" x14ac:dyDescent="0.4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</row>
    <row r="899" spans="1:26" ht="16.5" customHeight="1" x14ac:dyDescent="0.4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</row>
    <row r="900" spans="1:26" ht="16.5" customHeight="1" x14ac:dyDescent="0.4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</row>
    <row r="901" spans="1:26" ht="16.5" customHeight="1" x14ac:dyDescent="0.4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</row>
    <row r="902" spans="1:26" ht="16.5" customHeight="1" x14ac:dyDescent="0.4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</row>
    <row r="903" spans="1:26" ht="16.5" customHeight="1" x14ac:dyDescent="0.4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</row>
    <row r="904" spans="1:26" ht="16.5" customHeight="1" x14ac:dyDescent="0.4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</row>
    <row r="905" spans="1:26" ht="16.5" customHeight="1" x14ac:dyDescent="0.4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</row>
    <row r="906" spans="1:26" ht="16.5" customHeight="1" x14ac:dyDescent="0.4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</row>
    <row r="907" spans="1:26" ht="16.5" customHeight="1" x14ac:dyDescent="0.4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</row>
    <row r="908" spans="1:26" ht="16.5" customHeight="1" x14ac:dyDescent="0.4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</row>
    <row r="909" spans="1:26" ht="16.5" customHeight="1" x14ac:dyDescent="0.4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</row>
    <row r="910" spans="1:26" ht="16.5" customHeight="1" x14ac:dyDescent="0.4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</row>
    <row r="911" spans="1:26" ht="16.5" customHeight="1" x14ac:dyDescent="0.4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</row>
    <row r="912" spans="1:26" ht="16.5" customHeight="1" x14ac:dyDescent="0.4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</row>
    <row r="913" spans="1:26" ht="16.5" customHeight="1" x14ac:dyDescent="0.4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</row>
    <row r="914" spans="1:26" ht="16.5" customHeight="1" x14ac:dyDescent="0.4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</row>
    <row r="915" spans="1:26" ht="16.5" customHeight="1" x14ac:dyDescent="0.4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</row>
    <row r="916" spans="1:26" ht="16.5" customHeight="1" x14ac:dyDescent="0.4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</row>
    <row r="917" spans="1:26" ht="16.5" customHeight="1" x14ac:dyDescent="0.4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</row>
    <row r="918" spans="1:26" ht="16.5" customHeight="1" x14ac:dyDescent="0.4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</row>
    <row r="919" spans="1:26" ht="16.5" customHeight="1" x14ac:dyDescent="0.4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</row>
    <row r="920" spans="1:26" ht="16.5" customHeight="1" x14ac:dyDescent="0.4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</row>
    <row r="921" spans="1:26" ht="16.5" customHeight="1" x14ac:dyDescent="0.4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</row>
    <row r="922" spans="1:26" ht="16.5" customHeight="1" x14ac:dyDescent="0.4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</row>
    <row r="923" spans="1:26" ht="16.5" customHeight="1" x14ac:dyDescent="0.4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</row>
    <row r="924" spans="1:26" ht="16.5" customHeight="1" x14ac:dyDescent="0.4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</row>
    <row r="925" spans="1:26" ht="16.5" customHeight="1" x14ac:dyDescent="0.4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</row>
    <row r="926" spans="1:26" ht="16.5" customHeight="1" x14ac:dyDescent="0.4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</row>
    <row r="927" spans="1:26" ht="16.5" customHeight="1" x14ac:dyDescent="0.4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</row>
    <row r="928" spans="1:26" ht="16.5" customHeight="1" x14ac:dyDescent="0.4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</row>
    <row r="929" spans="1:26" ht="16.5" customHeight="1" x14ac:dyDescent="0.4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</row>
    <row r="930" spans="1:26" ht="16.5" customHeight="1" x14ac:dyDescent="0.4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</row>
    <row r="931" spans="1:26" ht="16.5" customHeight="1" x14ac:dyDescent="0.4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</row>
    <row r="932" spans="1:26" ht="16.5" customHeight="1" x14ac:dyDescent="0.4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</row>
    <row r="933" spans="1:26" ht="16.5" customHeight="1" x14ac:dyDescent="0.4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</row>
    <row r="934" spans="1:26" ht="16.5" customHeight="1" x14ac:dyDescent="0.4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</row>
    <row r="935" spans="1:26" ht="16.5" customHeight="1" x14ac:dyDescent="0.4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</row>
    <row r="936" spans="1:26" ht="16.5" customHeight="1" x14ac:dyDescent="0.4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</row>
    <row r="937" spans="1:26" ht="16.5" customHeight="1" x14ac:dyDescent="0.4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</row>
    <row r="938" spans="1:26" ht="16.5" customHeight="1" x14ac:dyDescent="0.4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</row>
    <row r="939" spans="1:26" ht="16.5" customHeight="1" x14ac:dyDescent="0.4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</row>
    <row r="940" spans="1:26" ht="16.5" customHeight="1" x14ac:dyDescent="0.4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</row>
    <row r="941" spans="1:26" ht="16.5" customHeight="1" x14ac:dyDescent="0.4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</row>
    <row r="942" spans="1:26" ht="16.5" customHeight="1" x14ac:dyDescent="0.4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</row>
    <row r="943" spans="1:26" ht="16.5" customHeight="1" x14ac:dyDescent="0.4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</row>
    <row r="944" spans="1:26" ht="16.5" customHeight="1" x14ac:dyDescent="0.4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</row>
    <row r="945" spans="1:26" ht="16.5" customHeight="1" x14ac:dyDescent="0.4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</row>
    <row r="946" spans="1:26" ht="16.5" customHeight="1" x14ac:dyDescent="0.4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</row>
    <row r="947" spans="1:26" ht="16.5" customHeight="1" x14ac:dyDescent="0.4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</row>
    <row r="948" spans="1:26" ht="16.5" customHeight="1" x14ac:dyDescent="0.4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</row>
    <row r="949" spans="1:26" ht="16.5" customHeight="1" x14ac:dyDescent="0.4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</row>
    <row r="950" spans="1:26" ht="16.5" customHeight="1" x14ac:dyDescent="0.4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</row>
    <row r="951" spans="1:26" ht="16.5" customHeight="1" x14ac:dyDescent="0.4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</row>
    <row r="952" spans="1:26" ht="16.5" customHeight="1" x14ac:dyDescent="0.4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</row>
    <row r="953" spans="1:26" ht="16.5" customHeight="1" x14ac:dyDescent="0.4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</row>
    <row r="954" spans="1:26" ht="16.5" customHeight="1" x14ac:dyDescent="0.4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</row>
    <row r="955" spans="1:26" ht="16.5" customHeight="1" x14ac:dyDescent="0.4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</row>
    <row r="956" spans="1:26" ht="16.5" customHeight="1" x14ac:dyDescent="0.4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</row>
    <row r="957" spans="1:26" ht="16.5" customHeight="1" x14ac:dyDescent="0.4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</row>
    <row r="958" spans="1:26" ht="16.5" customHeight="1" x14ac:dyDescent="0.4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</row>
    <row r="959" spans="1:26" ht="16.5" customHeight="1" x14ac:dyDescent="0.4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</row>
    <row r="960" spans="1:26" ht="16.5" customHeight="1" x14ac:dyDescent="0.4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</row>
    <row r="961" spans="1:26" ht="16.5" customHeight="1" x14ac:dyDescent="0.4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</row>
    <row r="962" spans="1:26" ht="16.5" customHeight="1" x14ac:dyDescent="0.4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</row>
    <row r="963" spans="1:26" ht="16.5" customHeight="1" x14ac:dyDescent="0.4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</row>
    <row r="964" spans="1:26" ht="16.5" customHeight="1" x14ac:dyDescent="0.4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</row>
    <row r="965" spans="1:26" ht="16.5" customHeight="1" x14ac:dyDescent="0.4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</row>
    <row r="966" spans="1:26" ht="16.5" customHeight="1" x14ac:dyDescent="0.4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</row>
    <row r="967" spans="1:26" ht="16.5" customHeight="1" x14ac:dyDescent="0.4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</row>
    <row r="968" spans="1:26" ht="16.5" customHeight="1" x14ac:dyDescent="0.4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</row>
    <row r="969" spans="1:26" ht="16.5" customHeight="1" x14ac:dyDescent="0.4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</row>
    <row r="970" spans="1:26" ht="16.5" customHeight="1" x14ac:dyDescent="0.4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</row>
    <row r="971" spans="1:26" ht="16.5" customHeight="1" x14ac:dyDescent="0.4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</row>
    <row r="972" spans="1:26" ht="16.5" customHeight="1" x14ac:dyDescent="0.4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</row>
    <row r="973" spans="1:26" ht="16.5" customHeight="1" x14ac:dyDescent="0.4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</row>
    <row r="974" spans="1:26" ht="16.5" customHeight="1" x14ac:dyDescent="0.4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</row>
    <row r="975" spans="1:26" ht="16.5" customHeight="1" x14ac:dyDescent="0.4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</row>
    <row r="976" spans="1:26" ht="16.5" customHeight="1" x14ac:dyDescent="0.4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</row>
    <row r="977" spans="1:26" ht="16.5" customHeight="1" x14ac:dyDescent="0.4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</row>
    <row r="978" spans="1:26" ht="16.5" customHeight="1" x14ac:dyDescent="0.4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</row>
    <row r="979" spans="1:26" ht="16.5" customHeight="1" x14ac:dyDescent="0.4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</row>
    <row r="980" spans="1:26" ht="16.5" customHeight="1" x14ac:dyDescent="0.4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</row>
    <row r="981" spans="1:26" ht="16.5" customHeight="1" x14ac:dyDescent="0.4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</row>
    <row r="982" spans="1:26" ht="16.5" customHeight="1" x14ac:dyDescent="0.4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</row>
    <row r="983" spans="1:26" ht="16.5" customHeight="1" x14ac:dyDescent="0.4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</row>
    <row r="984" spans="1:26" ht="16.5" customHeight="1" x14ac:dyDescent="0.4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</row>
    <row r="985" spans="1:26" ht="16.5" customHeight="1" x14ac:dyDescent="0.4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</row>
    <row r="986" spans="1:26" ht="16.5" customHeight="1" x14ac:dyDescent="0.4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</row>
    <row r="987" spans="1:26" ht="16.5" customHeight="1" x14ac:dyDescent="0.4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</row>
    <row r="988" spans="1:26" ht="16.5" customHeight="1" x14ac:dyDescent="0.4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</row>
    <row r="989" spans="1:26" ht="16.5" customHeight="1" x14ac:dyDescent="0.4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</row>
    <row r="990" spans="1:26" ht="16.5" customHeight="1" x14ac:dyDescent="0.4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</row>
    <row r="991" spans="1:26" ht="16.5" customHeight="1" x14ac:dyDescent="0.4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</row>
    <row r="992" spans="1:26" ht="16.5" customHeight="1" x14ac:dyDescent="0.4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</row>
    <row r="993" spans="1:26" ht="16.5" customHeight="1" x14ac:dyDescent="0.4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</row>
    <row r="994" spans="1:26" ht="16.5" customHeight="1" x14ac:dyDescent="0.4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</row>
    <row r="995" spans="1:26" ht="16.5" customHeight="1" x14ac:dyDescent="0.4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</row>
    <row r="996" spans="1:26" ht="16.5" customHeight="1" x14ac:dyDescent="0.4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</row>
    <row r="997" spans="1:26" ht="16.5" customHeight="1" x14ac:dyDescent="0.4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</row>
    <row r="998" spans="1:26" ht="16.5" customHeight="1" x14ac:dyDescent="0.4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</row>
    <row r="999" spans="1:26" ht="16.5" customHeight="1" x14ac:dyDescent="0.4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</row>
    <row r="1000" spans="1:26" ht="16.5" customHeight="1" x14ac:dyDescent="0.4">
      <c r="A1000" s="1"/>
      <c r="B1000" s="1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</row>
  </sheetData>
  <sheetProtection sheet="1" objects="1" scenarios="1"/>
  <mergeCells count="28">
    <mergeCell ref="B39:F39"/>
    <mergeCell ref="C21:E21"/>
    <mergeCell ref="C22:E22"/>
    <mergeCell ref="C23:E23"/>
    <mergeCell ref="C24:E24"/>
    <mergeCell ref="C28:E28"/>
    <mergeCell ref="C29:E29"/>
    <mergeCell ref="C30:E30"/>
    <mergeCell ref="C32:E32"/>
    <mergeCell ref="C33:E33"/>
    <mergeCell ref="C34:E34"/>
    <mergeCell ref="C35:E35"/>
    <mergeCell ref="C36:E36"/>
    <mergeCell ref="C15:D15"/>
    <mergeCell ref="C16:D16"/>
    <mergeCell ref="C19:E19"/>
    <mergeCell ref="C20:E20"/>
    <mergeCell ref="C31:E31"/>
    <mergeCell ref="C8:E8"/>
    <mergeCell ref="C9:E9"/>
    <mergeCell ref="C10:E10"/>
    <mergeCell ref="C13:D13"/>
    <mergeCell ref="C14:D14"/>
    <mergeCell ref="C3:E3"/>
    <mergeCell ref="C4:E4"/>
    <mergeCell ref="C5:E5"/>
    <mergeCell ref="C6:E6"/>
    <mergeCell ref="C7:E7"/>
  </mergeCells>
  <pageMargins left="0.17" right="0.17" top="0.28999999999999998" bottom="0.78740157499999996" header="0" footer="0"/>
  <pageSetup paperSize="9" orientation="portrait"/>
  <ignoredErrors>
    <ignoredError sqref="F33" unlockedFormula="1"/>
  </ignoredError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Z1000"/>
  <sheetViews>
    <sheetView workbookViewId="0">
      <selection activeCell="C22" sqref="C22:D22"/>
    </sheetView>
  </sheetViews>
  <sheetFormatPr defaultColWidth="12.5546875" defaultRowHeight="15" x14ac:dyDescent="0.35"/>
  <cols>
    <col min="1" max="1" width="2.6640625" style="2" customWidth="1"/>
    <col min="2" max="2" width="8.88671875" style="2" customWidth="1"/>
    <col min="3" max="3" width="52.5546875" style="2" customWidth="1"/>
    <col min="4" max="4" width="22" style="2" customWidth="1"/>
    <col min="5" max="5" width="7" style="2" customWidth="1"/>
    <col min="6" max="6" width="46" style="2" customWidth="1"/>
    <col min="7" max="26" width="9.109375" style="2" customWidth="1"/>
    <col min="27" max="16384" width="12.5546875" style="2"/>
  </cols>
  <sheetData>
    <row r="1" spans="1:26" ht="24.6" x14ac:dyDescent="0.55000000000000004">
      <c r="A1" s="5"/>
      <c r="B1" s="63" t="s">
        <v>131</v>
      </c>
      <c r="C1" s="1"/>
      <c r="D1" s="1"/>
      <c r="E1" s="1"/>
      <c r="F1" s="1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  <c r="X1" s="5"/>
      <c r="Y1" s="5"/>
      <c r="Z1" s="5"/>
    </row>
    <row r="2" spans="1:26" ht="16.8" x14ac:dyDescent="0.4">
      <c r="A2" s="1"/>
      <c r="B2" s="22" t="s">
        <v>46</v>
      </c>
      <c r="C2" s="1"/>
      <c r="D2" s="1"/>
      <c r="E2" s="28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ht="16.8" x14ac:dyDescent="0.4">
      <c r="A3" s="1"/>
      <c r="B3" s="22" t="s">
        <v>132</v>
      </c>
      <c r="C3" s="29"/>
      <c r="D3" s="30"/>
      <c r="E3" s="3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ht="16.8" x14ac:dyDescent="0.4">
      <c r="A4" s="1"/>
      <c r="B4" s="9" t="s">
        <v>133</v>
      </c>
      <c r="C4" s="108" t="s">
        <v>134</v>
      </c>
      <c r="D4" s="107"/>
      <c r="E4" s="24" t="s">
        <v>73</v>
      </c>
      <c r="F4" s="24" t="s">
        <v>135</v>
      </c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</row>
    <row r="5" spans="1:26" ht="16.8" x14ac:dyDescent="0.4">
      <c r="A5" s="1"/>
      <c r="B5" s="9" t="s">
        <v>11</v>
      </c>
      <c r="C5" s="111" t="s">
        <v>136</v>
      </c>
      <c r="D5" s="107"/>
      <c r="E5" s="32">
        <f>(1/MESES_NO_ANO)*100</f>
        <v>8.3333333333333321</v>
      </c>
      <c r="F5" s="32" t="s">
        <v>137</v>
      </c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</row>
    <row r="6" spans="1:26" ht="16.8" x14ac:dyDescent="0.4">
      <c r="A6" s="1"/>
      <c r="B6" s="24" t="s">
        <v>13</v>
      </c>
      <c r="C6" s="106" t="s">
        <v>138</v>
      </c>
      <c r="D6" s="107"/>
      <c r="E6" s="34">
        <f>(1/3)/MESES_NO_ANO*100</f>
        <v>2.7777777777777777</v>
      </c>
      <c r="F6" s="34" t="s">
        <v>139</v>
      </c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</row>
    <row r="7" spans="1:26" ht="16.8" x14ac:dyDescent="0.4">
      <c r="A7" s="36"/>
      <c r="B7" s="158" t="s">
        <v>140</v>
      </c>
      <c r="C7" s="154"/>
      <c r="D7" s="154"/>
      <c r="E7" s="154"/>
      <c r="F7" s="155"/>
      <c r="G7" s="36"/>
      <c r="H7" s="36"/>
      <c r="I7" s="36"/>
      <c r="J7" s="36"/>
      <c r="K7" s="36"/>
      <c r="L7" s="36"/>
      <c r="M7" s="36"/>
      <c r="N7" s="36"/>
      <c r="O7" s="36"/>
      <c r="P7" s="36"/>
      <c r="Q7" s="36"/>
      <c r="R7" s="36"/>
      <c r="S7" s="36"/>
      <c r="T7" s="36"/>
      <c r="U7" s="36"/>
      <c r="V7" s="36"/>
      <c r="W7" s="36"/>
      <c r="X7" s="36"/>
      <c r="Y7" s="36"/>
      <c r="Z7" s="36"/>
    </row>
    <row r="8" spans="1:26" ht="16.8" x14ac:dyDescent="0.4">
      <c r="A8" s="36"/>
      <c r="B8" s="9" t="s">
        <v>48</v>
      </c>
      <c r="C8" s="110" t="s">
        <v>141</v>
      </c>
      <c r="D8" s="107"/>
      <c r="E8" s="24" t="s">
        <v>73</v>
      </c>
      <c r="F8" s="36"/>
      <c r="G8" s="36"/>
      <c r="H8" s="36"/>
      <c r="I8" s="36"/>
      <c r="J8" s="36"/>
      <c r="K8" s="36"/>
      <c r="L8" s="36"/>
      <c r="M8" s="36"/>
      <c r="N8" s="36"/>
      <c r="O8" s="36"/>
      <c r="P8" s="36"/>
      <c r="Q8" s="36"/>
      <c r="R8" s="36"/>
      <c r="S8" s="36"/>
      <c r="T8" s="36"/>
      <c r="U8" s="36"/>
      <c r="V8" s="36"/>
      <c r="W8" s="36"/>
      <c r="X8" s="36"/>
      <c r="Y8" s="36"/>
      <c r="Z8" s="36"/>
    </row>
    <row r="9" spans="1:26" ht="16.8" x14ac:dyDescent="0.4">
      <c r="A9" s="1"/>
      <c r="B9" s="9" t="s">
        <v>11</v>
      </c>
      <c r="C9" s="111" t="s">
        <v>142</v>
      </c>
      <c r="D9" s="107"/>
      <c r="E9" s="32">
        <v>20</v>
      </c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</row>
    <row r="10" spans="1:26" ht="16.8" x14ac:dyDescent="0.35">
      <c r="A10" s="5"/>
      <c r="B10" s="24" t="s">
        <v>13</v>
      </c>
      <c r="C10" s="106" t="s">
        <v>143</v>
      </c>
      <c r="D10" s="107"/>
      <c r="E10" s="38">
        <v>2.5</v>
      </c>
      <c r="F10" s="5"/>
      <c r="G10" s="5"/>
      <c r="H10" s="5"/>
      <c r="I10" s="5"/>
      <c r="J10" s="5"/>
      <c r="K10" s="5"/>
      <c r="L10" s="5"/>
      <c r="M10" s="5"/>
      <c r="N10" s="5"/>
      <c r="O10" s="5"/>
      <c r="P10" s="5"/>
      <c r="Q10" s="5"/>
      <c r="R10" s="5"/>
      <c r="S10" s="5"/>
      <c r="T10" s="5"/>
      <c r="U10" s="5"/>
      <c r="V10" s="5"/>
      <c r="W10" s="5"/>
      <c r="X10" s="5"/>
      <c r="Y10" s="5"/>
      <c r="Z10" s="5"/>
    </row>
    <row r="11" spans="1:26" ht="16.8" x14ac:dyDescent="0.35">
      <c r="A11" s="5"/>
      <c r="B11" s="24" t="s">
        <v>15</v>
      </c>
      <c r="C11" s="111" t="s">
        <v>144</v>
      </c>
      <c r="D11" s="107"/>
      <c r="E11" s="32">
        <f>IF(FAP&lt;&gt;"",3*FAP,3)</f>
        <v>6</v>
      </c>
      <c r="F11" s="5"/>
      <c r="G11" s="5"/>
      <c r="H11" s="5"/>
      <c r="I11" s="5"/>
      <c r="J11" s="5"/>
      <c r="K11" s="5"/>
      <c r="L11" s="5"/>
      <c r="M11" s="5"/>
      <c r="N11" s="5"/>
      <c r="O11" s="5"/>
      <c r="P11" s="5"/>
      <c r="Q11" s="5"/>
      <c r="R11" s="5"/>
      <c r="S11" s="5"/>
      <c r="T11" s="5"/>
      <c r="U11" s="5"/>
      <c r="V11" s="5"/>
      <c r="W11" s="5"/>
      <c r="X11" s="5"/>
      <c r="Y11" s="5"/>
      <c r="Z11" s="5"/>
    </row>
    <row r="12" spans="1:26" ht="16.8" x14ac:dyDescent="0.35">
      <c r="A12" s="5"/>
      <c r="B12" s="24" t="s">
        <v>17</v>
      </c>
      <c r="C12" s="106" t="s">
        <v>145</v>
      </c>
      <c r="D12" s="107"/>
      <c r="E12" s="34">
        <v>1.5</v>
      </c>
      <c r="F12" s="5"/>
      <c r="G12" s="5"/>
      <c r="H12" s="5"/>
      <c r="I12" s="5"/>
      <c r="J12" s="5"/>
      <c r="K12" s="5"/>
      <c r="L12" s="5"/>
      <c r="M12" s="5"/>
      <c r="N12" s="5"/>
      <c r="O12" s="5"/>
      <c r="P12" s="5"/>
      <c r="Q12" s="5"/>
      <c r="R12" s="5"/>
      <c r="S12" s="5"/>
      <c r="T12" s="5"/>
      <c r="U12" s="5"/>
      <c r="V12" s="5"/>
      <c r="W12" s="5"/>
      <c r="X12" s="5"/>
      <c r="Y12" s="5"/>
      <c r="Z12" s="5"/>
    </row>
    <row r="13" spans="1:26" ht="16.8" x14ac:dyDescent="0.35">
      <c r="A13" s="5"/>
      <c r="B13" s="24" t="s">
        <v>19</v>
      </c>
      <c r="C13" s="111" t="s">
        <v>146</v>
      </c>
      <c r="D13" s="107"/>
      <c r="E13" s="32">
        <v>1</v>
      </c>
      <c r="F13" s="5"/>
      <c r="G13" s="5"/>
      <c r="H13" s="5"/>
      <c r="I13" s="5"/>
      <c r="J13" s="5"/>
      <c r="K13" s="5"/>
      <c r="L13" s="5"/>
      <c r="M13" s="5"/>
      <c r="N13" s="5"/>
      <c r="O13" s="5"/>
      <c r="P13" s="5"/>
      <c r="Q13" s="5"/>
      <c r="R13" s="5"/>
      <c r="S13" s="5"/>
      <c r="T13" s="5"/>
      <c r="U13" s="5"/>
      <c r="V13" s="5"/>
      <c r="W13" s="5"/>
      <c r="X13" s="5"/>
      <c r="Y13" s="5"/>
      <c r="Z13" s="5"/>
    </row>
    <row r="14" spans="1:26" ht="16.8" x14ac:dyDescent="0.35">
      <c r="A14" s="5"/>
      <c r="B14" s="24" t="s">
        <v>42</v>
      </c>
      <c r="C14" s="106" t="s">
        <v>147</v>
      </c>
      <c r="D14" s="107"/>
      <c r="E14" s="38">
        <v>0.6</v>
      </c>
      <c r="F14" s="5"/>
      <c r="G14" s="5"/>
      <c r="H14" s="5"/>
      <c r="I14" s="5"/>
      <c r="J14" s="5"/>
      <c r="K14" s="5"/>
      <c r="L14" s="5"/>
      <c r="M14" s="5"/>
      <c r="N14" s="5"/>
      <c r="O14" s="5"/>
      <c r="P14" s="5"/>
      <c r="Q14" s="5"/>
      <c r="R14" s="5"/>
      <c r="S14" s="5"/>
      <c r="T14" s="5"/>
      <c r="U14" s="5"/>
      <c r="V14" s="5"/>
      <c r="W14" s="5"/>
      <c r="X14" s="5"/>
      <c r="Y14" s="5"/>
      <c r="Z14" s="5"/>
    </row>
    <row r="15" spans="1:26" ht="16.8" x14ac:dyDescent="0.35">
      <c r="A15" s="5"/>
      <c r="B15" s="24" t="s">
        <v>44</v>
      </c>
      <c r="C15" s="111" t="s">
        <v>148</v>
      </c>
      <c r="D15" s="107"/>
      <c r="E15" s="32">
        <v>0.2</v>
      </c>
      <c r="F15" s="5"/>
      <c r="G15" s="5"/>
      <c r="H15" s="5"/>
      <c r="I15" s="5"/>
      <c r="J15" s="5"/>
      <c r="K15" s="5"/>
      <c r="L15" s="5"/>
      <c r="M15" s="5"/>
      <c r="N15" s="5"/>
      <c r="O15" s="5"/>
      <c r="P15" s="5"/>
      <c r="Q15" s="5"/>
      <c r="R15" s="5"/>
      <c r="S15" s="5"/>
      <c r="T15" s="5"/>
      <c r="U15" s="5"/>
      <c r="V15" s="5"/>
      <c r="W15" s="5"/>
      <c r="X15" s="5"/>
      <c r="Y15" s="5"/>
      <c r="Z15" s="5"/>
    </row>
    <row r="16" spans="1:26" ht="16.8" x14ac:dyDescent="0.4">
      <c r="A16" s="1"/>
      <c r="B16" s="24" t="s">
        <v>129</v>
      </c>
      <c r="C16" s="106" t="s">
        <v>149</v>
      </c>
      <c r="D16" s="107"/>
      <c r="E16" s="38">
        <v>8</v>
      </c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</row>
    <row r="17" spans="1:26" ht="16.8" x14ac:dyDescent="0.4">
      <c r="A17" s="1"/>
      <c r="B17" s="108" t="s">
        <v>150</v>
      </c>
      <c r="C17" s="109"/>
      <c r="D17" s="107"/>
      <c r="E17" s="64">
        <f>SUM(E9:E16)</f>
        <v>39.799999999999997</v>
      </c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</row>
    <row r="18" spans="1:26" ht="16.8" x14ac:dyDescent="0.4">
      <c r="A18" s="36"/>
      <c r="B18" s="22" t="s">
        <v>114</v>
      </c>
      <c r="C18" s="29"/>
      <c r="D18" s="30"/>
      <c r="E18" s="31"/>
      <c r="F18" s="36"/>
      <c r="G18" s="36"/>
      <c r="H18" s="36"/>
      <c r="I18" s="36"/>
      <c r="J18" s="36"/>
      <c r="K18" s="36"/>
      <c r="L18" s="36"/>
      <c r="M18" s="36"/>
      <c r="N18" s="36"/>
      <c r="O18" s="36"/>
      <c r="P18" s="36"/>
      <c r="Q18" s="36"/>
      <c r="R18" s="36"/>
      <c r="S18" s="36"/>
      <c r="T18" s="36"/>
      <c r="U18" s="36"/>
      <c r="V18" s="36"/>
      <c r="W18" s="36"/>
      <c r="X18" s="36"/>
      <c r="Y18" s="36"/>
      <c r="Z18" s="36"/>
    </row>
    <row r="19" spans="1:26" ht="16.8" x14ac:dyDescent="0.4">
      <c r="A19" s="36"/>
      <c r="B19" s="9">
        <v>3</v>
      </c>
      <c r="C19" s="108" t="s">
        <v>115</v>
      </c>
      <c r="D19" s="107"/>
      <c r="E19" s="24" t="s">
        <v>73</v>
      </c>
      <c r="F19" s="24" t="s">
        <v>135</v>
      </c>
      <c r="G19" s="36"/>
      <c r="H19" s="36"/>
      <c r="I19" s="36"/>
      <c r="J19" s="36"/>
      <c r="K19" s="36"/>
      <c r="L19" s="36"/>
      <c r="M19" s="36"/>
      <c r="N19" s="36"/>
      <c r="O19" s="36"/>
      <c r="P19" s="36"/>
      <c r="Q19" s="36"/>
      <c r="R19" s="36"/>
      <c r="S19" s="36"/>
      <c r="T19" s="36"/>
      <c r="U19" s="36"/>
      <c r="V19" s="36"/>
      <c r="W19" s="36"/>
      <c r="X19" s="36"/>
      <c r="Y19" s="36"/>
      <c r="Z19" s="36"/>
    </row>
    <row r="20" spans="1:26" ht="16.8" x14ac:dyDescent="0.4">
      <c r="A20" s="36"/>
      <c r="B20" s="9" t="s">
        <v>11</v>
      </c>
      <c r="C20" s="113" t="s">
        <v>151</v>
      </c>
      <c r="D20" s="107"/>
      <c r="E20" s="32">
        <f>PERC_EMPREG_DEMIT_SEM_JUSTA_CAUSA_TOTAL_DESLIG%*PERC_EMPREG_AVISO_PREVIO_IND%*1/MESES_NO_ANO*100</f>
        <v>0.29105124999999998</v>
      </c>
      <c r="F20" s="32" t="s">
        <v>152</v>
      </c>
      <c r="G20" s="36"/>
      <c r="H20" s="36"/>
      <c r="I20" s="36"/>
      <c r="J20" s="36"/>
      <c r="K20" s="36"/>
      <c r="L20" s="36"/>
      <c r="M20" s="36"/>
      <c r="N20" s="36"/>
      <c r="O20" s="36"/>
      <c r="P20" s="36"/>
      <c r="Q20" s="36"/>
      <c r="R20" s="36"/>
      <c r="S20" s="36"/>
      <c r="T20" s="36"/>
      <c r="U20" s="36"/>
      <c r="V20" s="36"/>
      <c r="W20" s="36"/>
      <c r="X20" s="36"/>
      <c r="Y20" s="36"/>
      <c r="Z20" s="36"/>
    </row>
    <row r="21" spans="1:26" ht="16.8" x14ac:dyDescent="0.4">
      <c r="A21" s="36"/>
      <c r="B21" s="24" t="s">
        <v>13</v>
      </c>
      <c r="C21" s="112" t="s">
        <v>153</v>
      </c>
      <c r="D21" s="107"/>
      <c r="E21" s="38">
        <f>PERC_AVISO_PREVIO_IND%*PERC_FGTS%*100</f>
        <v>2.3284099999999999E-2</v>
      </c>
      <c r="F21" s="34" t="s">
        <v>154</v>
      </c>
      <c r="G21" s="36"/>
      <c r="H21" s="36"/>
      <c r="I21" s="36"/>
      <c r="J21" s="36"/>
      <c r="K21" s="36"/>
      <c r="L21" s="36"/>
      <c r="M21" s="36"/>
      <c r="N21" s="36"/>
      <c r="O21" s="36"/>
      <c r="P21" s="36"/>
      <c r="Q21" s="36"/>
      <c r="R21" s="36"/>
      <c r="S21" s="36"/>
      <c r="T21" s="36"/>
      <c r="U21" s="36"/>
      <c r="V21" s="36"/>
      <c r="W21" s="36"/>
      <c r="X21" s="36"/>
      <c r="Y21" s="36"/>
      <c r="Z21" s="36"/>
    </row>
    <row r="22" spans="1:26" ht="16.8" x14ac:dyDescent="0.35">
      <c r="A22" s="5"/>
      <c r="B22" s="24" t="s">
        <v>15</v>
      </c>
      <c r="C22" s="113" t="s">
        <v>155</v>
      </c>
      <c r="D22" s="107"/>
      <c r="E22" s="32">
        <f>PERC_EMPREG_DEMIT_SEM_JUSTA_CAUSA_TOTAL_DESLIG%*PERC_EMPREG_AVISO_PREVIO_IND%*(PERC_MULTA_FGTS%)*PERC_FGTS%*100</f>
        <v>0.11176368</v>
      </c>
      <c r="F22" s="32" t="s">
        <v>156</v>
      </c>
      <c r="G22" s="5"/>
      <c r="H22" s="5"/>
      <c r="I22" s="5"/>
      <c r="J22" s="5"/>
      <c r="K22" s="5"/>
      <c r="L22" s="5"/>
      <c r="M22" s="5"/>
      <c r="N22" s="5"/>
      <c r="O22" s="5"/>
      <c r="P22" s="5"/>
      <c r="Q22" s="5"/>
      <c r="R22" s="5"/>
      <c r="S22" s="5"/>
      <c r="T22" s="5"/>
      <c r="U22" s="5"/>
      <c r="V22" s="5"/>
      <c r="W22" s="5"/>
      <c r="X22" s="5"/>
      <c r="Y22" s="5"/>
      <c r="Z22" s="5"/>
    </row>
    <row r="23" spans="1:26" ht="16.8" x14ac:dyDescent="0.4">
      <c r="A23" s="36"/>
      <c r="B23" s="24" t="s">
        <v>17</v>
      </c>
      <c r="C23" s="112" t="s">
        <v>157</v>
      </c>
      <c r="D23" s="107"/>
      <c r="E23" s="38">
        <f>PERC_EMPREG_DEMIT_SEM_JUSTA_CAUSA_TOTAL_DESLIG%*PERC_EMPREG_AVISO_PREVIO_TRAB%*(DIAS_NA_SEMANA/DIAS_NO_MES)/MESES_NO_ANO*100</f>
        <v>1.1557269305555555</v>
      </c>
      <c r="F23" s="34" t="s">
        <v>158</v>
      </c>
      <c r="G23" s="36"/>
      <c r="H23" s="36"/>
      <c r="I23" s="36"/>
      <c r="J23" s="36"/>
      <c r="K23" s="36"/>
      <c r="L23" s="36"/>
      <c r="M23" s="36"/>
      <c r="N23" s="36"/>
      <c r="O23" s="36"/>
      <c r="P23" s="36"/>
      <c r="Q23" s="36"/>
      <c r="R23" s="36"/>
      <c r="S23" s="36"/>
      <c r="T23" s="36"/>
      <c r="U23" s="36"/>
      <c r="V23" s="36"/>
      <c r="W23" s="36"/>
      <c r="X23" s="36"/>
      <c r="Y23" s="36"/>
      <c r="Z23" s="36"/>
    </row>
    <row r="24" spans="1:26" ht="16.8" x14ac:dyDescent="0.4">
      <c r="A24" s="36"/>
      <c r="B24" s="24" t="s">
        <v>19</v>
      </c>
      <c r="C24" s="113" t="s">
        <v>159</v>
      </c>
      <c r="D24" s="107"/>
      <c r="E24" s="32">
        <f>PERC_GPS_FGTS%*PERC_AVISO_PREVIO_TRAB%*100</f>
        <v>0.45997931836111106</v>
      </c>
      <c r="F24" s="32" t="s">
        <v>160</v>
      </c>
      <c r="G24" s="36"/>
      <c r="H24" s="36"/>
      <c r="I24" s="36"/>
      <c r="J24" s="36"/>
      <c r="K24" s="36"/>
      <c r="L24" s="36"/>
      <c r="M24" s="36"/>
      <c r="N24" s="36"/>
      <c r="O24" s="36"/>
      <c r="P24" s="36"/>
      <c r="Q24" s="36"/>
      <c r="R24" s="36"/>
      <c r="S24" s="36"/>
      <c r="T24" s="36"/>
      <c r="U24" s="36"/>
      <c r="V24" s="36"/>
      <c r="W24" s="36"/>
      <c r="X24" s="36"/>
      <c r="Y24" s="36"/>
      <c r="Z24" s="36"/>
    </row>
    <row r="25" spans="1:26" ht="16.8" x14ac:dyDescent="0.35">
      <c r="A25" s="5"/>
      <c r="B25" s="24" t="s">
        <v>42</v>
      </c>
      <c r="C25" s="112" t="s">
        <v>161</v>
      </c>
      <c r="D25" s="107"/>
      <c r="E25" s="38">
        <f>PERC_EMPREG_DEMIT_SEM_JUSTA_CAUSA_TOTAL_DESLIG%*PERC_EMPREG_AVISO_PREVIO_TRAB%*(PERC_MULTA_FGTS%)*PERC_FGTS%*100</f>
        <v>1.9019963200000001</v>
      </c>
      <c r="F25" s="34" t="s">
        <v>162</v>
      </c>
      <c r="G25" s="5"/>
      <c r="H25" s="5"/>
      <c r="I25" s="5"/>
      <c r="J25" s="5"/>
      <c r="K25" s="5"/>
      <c r="L25" s="5"/>
      <c r="M25" s="5"/>
      <c r="N25" s="5"/>
      <c r="O25" s="5"/>
      <c r="P25" s="5"/>
      <c r="Q25" s="5"/>
      <c r="R25" s="5"/>
      <c r="S25" s="5"/>
      <c r="T25" s="5"/>
      <c r="U25" s="5"/>
      <c r="V25" s="5"/>
      <c r="W25" s="5"/>
      <c r="X25" s="5"/>
      <c r="Y25" s="5"/>
      <c r="Z25" s="5"/>
    </row>
    <row r="26" spans="1:26" ht="16.8" x14ac:dyDescent="0.4">
      <c r="A26" s="5"/>
      <c r="B26" s="22" t="s">
        <v>69</v>
      </c>
      <c r="C26" s="29"/>
      <c r="D26" s="30"/>
      <c r="E26" s="1"/>
      <c r="F26" s="5"/>
      <c r="G26" s="5"/>
      <c r="H26" s="5"/>
      <c r="I26" s="5"/>
      <c r="J26" s="5"/>
      <c r="K26" s="5"/>
      <c r="L26" s="5"/>
      <c r="M26" s="5"/>
      <c r="N26" s="5"/>
      <c r="O26" s="5"/>
      <c r="P26" s="5"/>
      <c r="Q26" s="5"/>
      <c r="R26" s="5"/>
      <c r="S26" s="5"/>
      <c r="T26" s="5"/>
      <c r="U26" s="5"/>
      <c r="V26" s="5"/>
      <c r="W26" s="5"/>
      <c r="X26" s="5"/>
      <c r="Y26" s="5"/>
      <c r="Z26" s="5"/>
    </row>
    <row r="27" spans="1:26" ht="16.8" x14ac:dyDescent="0.4">
      <c r="A27" s="5"/>
      <c r="B27" s="22" t="s">
        <v>70</v>
      </c>
      <c r="C27" s="29"/>
      <c r="D27" s="30"/>
      <c r="E27" s="31"/>
      <c r="F27" s="5"/>
      <c r="G27" s="5"/>
      <c r="H27" s="5"/>
      <c r="I27" s="5"/>
      <c r="J27" s="5"/>
      <c r="K27" s="5"/>
      <c r="L27" s="5"/>
      <c r="M27" s="5"/>
      <c r="N27" s="5"/>
      <c r="O27" s="5"/>
      <c r="P27" s="5"/>
      <c r="Q27" s="5"/>
      <c r="R27" s="5"/>
      <c r="S27" s="5"/>
      <c r="T27" s="5"/>
      <c r="U27" s="5"/>
      <c r="V27" s="5"/>
      <c r="W27" s="5"/>
      <c r="X27" s="5"/>
      <c r="Y27" s="5"/>
      <c r="Z27" s="5"/>
    </row>
    <row r="28" spans="1:26" ht="16.8" x14ac:dyDescent="0.35">
      <c r="A28" s="5"/>
      <c r="B28" s="9" t="s">
        <v>71</v>
      </c>
      <c r="C28" s="110" t="s">
        <v>72</v>
      </c>
      <c r="D28" s="107"/>
      <c r="E28" s="24" t="s">
        <v>73</v>
      </c>
      <c r="F28" s="24" t="s">
        <v>135</v>
      </c>
      <c r="G28" s="5"/>
      <c r="H28" s="5"/>
      <c r="I28" s="5"/>
      <c r="J28" s="5"/>
      <c r="K28" s="5"/>
      <c r="L28" s="5"/>
      <c r="M28" s="5"/>
      <c r="N28" s="5"/>
      <c r="O28" s="5"/>
      <c r="P28" s="5"/>
      <c r="Q28" s="5"/>
      <c r="R28" s="5"/>
      <c r="S28" s="5"/>
      <c r="T28" s="5"/>
      <c r="U28" s="5"/>
      <c r="V28" s="5"/>
      <c r="W28" s="5"/>
      <c r="X28" s="5"/>
      <c r="Y28" s="5"/>
      <c r="Z28" s="5"/>
    </row>
    <row r="29" spans="1:26" ht="16.8" x14ac:dyDescent="0.35">
      <c r="A29" s="5"/>
      <c r="B29" s="24" t="s">
        <v>11</v>
      </c>
      <c r="C29" s="111" t="s">
        <v>163</v>
      </c>
      <c r="D29" s="107"/>
      <c r="E29" s="32">
        <f>(1/MESES_NO_ANO)*100</f>
        <v>8.3333333333333321</v>
      </c>
      <c r="F29" s="32" t="s">
        <v>164</v>
      </c>
      <c r="G29" s="5"/>
      <c r="H29" s="5"/>
      <c r="I29" s="5"/>
      <c r="J29" s="5"/>
      <c r="K29" s="5"/>
      <c r="L29" s="5"/>
      <c r="M29" s="5"/>
      <c r="N29" s="5"/>
      <c r="O29" s="5"/>
      <c r="P29" s="5"/>
      <c r="Q29" s="5"/>
      <c r="R29" s="5"/>
      <c r="S29" s="5"/>
      <c r="T29" s="5"/>
      <c r="U29" s="5"/>
      <c r="V29" s="5"/>
      <c r="W29" s="5"/>
      <c r="X29" s="5"/>
      <c r="Y29" s="5"/>
      <c r="Z29" s="5"/>
    </row>
    <row r="30" spans="1:26" ht="16.8" x14ac:dyDescent="0.35">
      <c r="A30" s="5"/>
      <c r="B30" s="24" t="s">
        <v>13</v>
      </c>
      <c r="C30" s="10" t="s">
        <v>165</v>
      </c>
      <c r="D30" s="10"/>
      <c r="E30" s="38">
        <f>(DIAS_AUSENCIAS_LEGAIS/DIAS_NO_MES)/MESES_NO_ANO*100</f>
        <v>2.2222222222222223</v>
      </c>
      <c r="F30" s="34" t="s">
        <v>166</v>
      </c>
      <c r="G30" s="5"/>
      <c r="H30" s="5"/>
      <c r="I30" s="5"/>
      <c r="J30" s="5"/>
      <c r="K30" s="5"/>
      <c r="L30" s="5"/>
      <c r="M30" s="5"/>
      <c r="N30" s="5"/>
      <c r="O30" s="5"/>
      <c r="P30" s="5"/>
      <c r="Q30" s="5"/>
      <c r="R30" s="5"/>
      <c r="S30" s="5"/>
      <c r="T30" s="5"/>
      <c r="U30" s="5"/>
      <c r="V30" s="5"/>
      <c r="W30" s="5"/>
      <c r="X30" s="5"/>
      <c r="Y30" s="5"/>
      <c r="Z30" s="5"/>
    </row>
    <row r="31" spans="1:26" ht="16.8" x14ac:dyDescent="0.35">
      <c r="A31" s="5"/>
      <c r="B31" s="24" t="s">
        <v>15</v>
      </c>
      <c r="C31" s="111" t="s">
        <v>167</v>
      </c>
      <c r="D31" s="107"/>
      <c r="E31" s="32">
        <f>(((DIAS_LICENCA_PATERNIDADE/DIAS_NO_MES)/MESES_NO_ANO)*PERC_NASCIDOS_VIVOS_POPUL_FEM%*PERC_PARTIC_MASC_VIGIL%)*100</f>
        <v>1.7051833333333329E-2</v>
      </c>
      <c r="F31" s="32" t="s">
        <v>168</v>
      </c>
      <c r="G31" s="5"/>
      <c r="H31" s="5"/>
      <c r="I31" s="5"/>
      <c r="J31" s="5"/>
      <c r="K31" s="5"/>
      <c r="L31" s="5"/>
      <c r="M31" s="5"/>
      <c r="N31" s="5"/>
      <c r="O31" s="5"/>
      <c r="P31" s="5"/>
      <c r="Q31" s="5"/>
      <c r="R31" s="5"/>
      <c r="S31" s="5"/>
      <c r="T31" s="5"/>
      <c r="U31" s="5"/>
      <c r="V31" s="5"/>
      <c r="W31" s="5"/>
      <c r="X31" s="5"/>
      <c r="Y31" s="5"/>
      <c r="Z31" s="5"/>
    </row>
    <row r="32" spans="1:26" ht="16.8" x14ac:dyDescent="0.35">
      <c r="A32" s="5"/>
      <c r="B32" s="24" t="s">
        <v>17</v>
      </c>
      <c r="C32" s="106" t="s">
        <v>169</v>
      </c>
      <c r="D32" s="107"/>
      <c r="E32" s="38">
        <f>(DIAS_PAGOS_EMPRESA_ACID_TRAB/DIAS_NO_MES)/MESES_NO_ANO*PERC_EMPREG_AFAST_TRAB%*100</f>
        <v>1.85302229372558E-2</v>
      </c>
      <c r="F32" s="34" t="s">
        <v>170</v>
      </c>
      <c r="G32" s="5"/>
      <c r="H32" s="5"/>
      <c r="I32" s="5"/>
      <c r="J32" s="5"/>
      <c r="K32" s="5"/>
      <c r="L32" s="5"/>
      <c r="M32" s="5"/>
      <c r="N32" s="5"/>
      <c r="O32" s="5"/>
      <c r="P32" s="5"/>
      <c r="Q32" s="5"/>
      <c r="R32" s="5"/>
      <c r="S32" s="5"/>
      <c r="T32" s="5"/>
      <c r="U32" s="5"/>
      <c r="V32" s="5"/>
      <c r="W32" s="5"/>
      <c r="X32" s="5"/>
      <c r="Y32" s="5"/>
      <c r="Z32" s="5"/>
    </row>
    <row r="33" spans="1:26" ht="16.8" x14ac:dyDescent="0.35">
      <c r="A33" s="5"/>
      <c r="B33" s="24" t="s">
        <v>19</v>
      </c>
      <c r="C33" s="111" t="s">
        <v>171</v>
      </c>
      <c r="D33" s="107"/>
      <c r="E33" s="32">
        <f>(((DIAS_LICENCA_MATERNIDADE/DIAS_NO_MES)/MESES_NO_ANO)*PERC_NASCIDOS_VIVOS_POPUL_FEM%*PERC_PARTIC_FEM_VIGIL%*PERC_GPS_FGTS%*100)</f>
        <v>2.5507554666666658E-2</v>
      </c>
      <c r="F33" s="32" t="s">
        <v>172</v>
      </c>
      <c r="G33" s="5"/>
      <c r="H33" s="5"/>
      <c r="I33" s="5"/>
      <c r="J33" s="5"/>
      <c r="K33" s="5"/>
      <c r="L33" s="5"/>
      <c r="M33" s="5"/>
      <c r="N33" s="5"/>
      <c r="O33" s="5"/>
      <c r="P33" s="5"/>
      <c r="Q33" s="5"/>
      <c r="R33" s="5"/>
      <c r="S33" s="5"/>
      <c r="T33" s="5"/>
      <c r="U33" s="5"/>
      <c r="V33" s="5"/>
      <c r="W33" s="5"/>
      <c r="X33" s="5"/>
      <c r="Y33" s="5"/>
      <c r="Z33" s="5"/>
    </row>
    <row r="34" spans="1:26" ht="16.8" x14ac:dyDescent="0.35">
      <c r="A34" s="5"/>
      <c r="B34" s="24" t="s">
        <v>42</v>
      </c>
      <c r="C34" s="116" t="str">
        <f>OUTRAS_AUSENCIAS_DESCRICAO</f>
        <v>Outras Ausências (Especificar em %)</v>
      </c>
      <c r="D34" s="107"/>
      <c r="E34" s="38">
        <f>PERC_SUBSTITUTO_OUTRAS_AUSENCIAS</f>
        <v>0</v>
      </c>
      <c r="F34" s="34"/>
      <c r="G34" s="5"/>
      <c r="H34" s="5"/>
      <c r="I34" s="5"/>
      <c r="J34" s="5"/>
      <c r="K34" s="5"/>
      <c r="L34" s="5"/>
      <c r="M34" s="5"/>
      <c r="N34" s="5"/>
      <c r="O34" s="5"/>
      <c r="P34" s="5"/>
      <c r="Q34" s="5"/>
      <c r="R34" s="5"/>
      <c r="S34" s="5"/>
      <c r="T34" s="5"/>
      <c r="U34" s="5"/>
      <c r="V34" s="5"/>
      <c r="W34" s="5"/>
      <c r="X34" s="5"/>
      <c r="Y34" s="5"/>
      <c r="Z34" s="5"/>
    </row>
    <row r="35" spans="1:26" ht="16.8" x14ac:dyDescent="0.4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</row>
    <row r="36" spans="1:26" ht="20.399999999999999" x14ac:dyDescent="0.4">
      <c r="A36" s="1"/>
      <c r="B36" s="65" t="s">
        <v>94</v>
      </c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</row>
    <row r="37" spans="1:26" ht="16.8" x14ac:dyDescent="0.4">
      <c r="A37" s="1"/>
      <c r="B37" s="144" t="s">
        <v>95</v>
      </c>
      <c r="C37" s="122"/>
      <c r="D37" s="122"/>
      <c r="E37" s="122"/>
      <c r="F37" s="123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</row>
    <row r="38" spans="1:26" ht="16.8" x14ac:dyDescent="0.4">
      <c r="A38" s="1"/>
      <c r="B38" s="1" t="s">
        <v>173</v>
      </c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</row>
    <row r="39" spans="1:26" ht="16.8" x14ac:dyDescent="0.4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</row>
    <row r="40" spans="1:26" ht="16.8" x14ac:dyDescent="0.4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</row>
    <row r="41" spans="1:26" ht="16.8" x14ac:dyDescent="0.4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</row>
    <row r="42" spans="1:26" ht="16.8" x14ac:dyDescent="0.4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</row>
    <row r="43" spans="1:26" ht="16.8" x14ac:dyDescent="0.4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</row>
    <row r="44" spans="1:26" ht="16.8" x14ac:dyDescent="0.4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</row>
    <row r="45" spans="1:26" ht="16.8" x14ac:dyDescent="0.4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</row>
    <row r="46" spans="1:26" ht="16.8" x14ac:dyDescent="0.4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</row>
    <row r="47" spans="1:26" ht="16.8" x14ac:dyDescent="0.4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</row>
    <row r="48" spans="1:26" ht="16.8" x14ac:dyDescent="0.4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</row>
    <row r="49" spans="1:26" ht="16.8" x14ac:dyDescent="0.4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</row>
    <row r="50" spans="1:26" ht="16.8" x14ac:dyDescent="0.4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</row>
    <row r="51" spans="1:26" ht="16.8" x14ac:dyDescent="0.4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</row>
    <row r="52" spans="1:26" ht="16.8" x14ac:dyDescent="0.4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</row>
    <row r="53" spans="1:26" ht="16.8" x14ac:dyDescent="0.4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</row>
    <row r="54" spans="1:26" ht="16.8" x14ac:dyDescent="0.4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</row>
    <row r="55" spans="1:26" ht="16.8" x14ac:dyDescent="0.4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</row>
    <row r="56" spans="1:26" ht="16.8" x14ac:dyDescent="0.4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</row>
    <row r="57" spans="1:26" ht="16.8" x14ac:dyDescent="0.4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</row>
    <row r="58" spans="1:26" ht="16.8" x14ac:dyDescent="0.4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</row>
    <row r="59" spans="1:26" ht="16.8" x14ac:dyDescent="0.4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</row>
    <row r="60" spans="1:26" ht="16.8" x14ac:dyDescent="0.4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</row>
    <row r="61" spans="1:26" ht="16.8" x14ac:dyDescent="0.4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</row>
    <row r="62" spans="1:26" ht="16.8" x14ac:dyDescent="0.4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</row>
    <row r="63" spans="1:26" ht="16.8" x14ac:dyDescent="0.4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</row>
    <row r="64" spans="1:26" ht="16.8" x14ac:dyDescent="0.4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</row>
    <row r="65" spans="1:26" ht="16.8" x14ac:dyDescent="0.4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</row>
    <row r="66" spans="1:26" ht="16.8" x14ac:dyDescent="0.4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</row>
    <row r="67" spans="1:26" ht="16.8" x14ac:dyDescent="0.4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</row>
    <row r="68" spans="1:26" ht="16.8" x14ac:dyDescent="0.4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</row>
    <row r="69" spans="1:26" ht="16.8" x14ac:dyDescent="0.4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</row>
    <row r="70" spans="1:26" ht="16.8" x14ac:dyDescent="0.4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</row>
    <row r="71" spans="1:26" ht="16.8" x14ac:dyDescent="0.4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</row>
    <row r="72" spans="1:26" ht="16.8" x14ac:dyDescent="0.4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</row>
    <row r="73" spans="1:26" ht="16.8" x14ac:dyDescent="0.4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</row>
    <row r="74" spans="1:26" ht="16.8" x14ac:dyDescent="0.4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</row>
    <row r="75" spans="1:26" ht="16.8" x14ac:dyDescent="0.4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</row>
    <row r="76" spans="1:26" ht="16.8" x14ac:dyDescent="0.4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</row>
    <row r="77" spans="1:26" ht="16.8" x14ac:dyDescent="0.4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</row>
    <row r="78" spans="1:26" ht="16.8" x14ac:dyDescent="0.4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</row>
    <row r="79" spans="1:26" ht="16.8" x14ac:dyDescent="0.4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</row>
    <row r="80" spans="1:26" ht="16.8" x14ac:dyDescent="0.4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</row>
    <row r="81" spans="1:26" ht="16.8" x14ac:dyDescent="0.4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</row>
    <row r="82" spans="1:26" ht="16.8" x14ac:dyDescent="0.4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</row>
    <row r="83" spans="1:26" ht="16.8" x14ac:dyDescent="0.4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</row>
    <row r="84" spans="1:26" ht="16.8" x14ac:dyDescent="0.4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</row>
    <row r="85" spans="1:26" ht="16.8" x14ac:dyDescent="0.4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</row>
    <row r="86" spans="1:26" ht="16.8" x14ac:dyDescent="0.4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</row>
    <row r="87" spans="1:26" ht="16.8" x14ac:dyDescent="0.4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</row>
    <row r="88" spans="1:26" ht="16.8" x14ac:dyDescent="0.4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</row>
    <row r="89" spans="1:26" ht="16.8" x14ac:dyDescent="0.4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</row>
    <row r="90" spans="1:26" ht="16.8" x14ac:dyDescent="0.4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</row>
    <row r="91" spans="1:26" ht="16.8" x14ac:dyDescent="0.4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</row>
    <row r="92" spans="1:26" ht="16.8" x14ac:dyDescent="0.4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</row>
    <row r="93" spans="1:26" ht="16.8" x14ac:dyDescent="0.4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</row>
    <row r="94" spans="1:26" ht="16.8" x14ac:dyDescent="0.4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</row>
    <row r="95" spans="1:26" ht="16.8" x14ac:dyDescent="0.4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</row>
    <row r="96" spans="1:26" ht="16.8" x14ac:dyDescent="0.4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</row>
    <row r="97" spans="1:26" ht="16.8" x14ac:dyDescent="0.4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</row>
    <row r="98" spans="1:26" ht="16.8" x14ac:dyDescent="0.4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</row>
    <row r="99" spans="1:26" ht="16.8" x14ac:dyDescent="0.4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</row>
    <row r="100" spans="1:26" ht="16.8" x14ac:dyDescent="0.4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</row>
    <row r="101" spans="1:26" ht="16.8" x14ac:dyDescent="0.4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</row>
    <row r="102" spans="1:26" ht="16.8" x14ac:dyDescent="0.4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</row>
    <row r="103" spans="1:26" ht="16.8" x14ac:dyDescent="0.4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</row>
    <row r="104" spans="1:26" ht="16.8" x14ac:dyDescent="0.4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</row>
    <row r="105" spans="1:26" ht="16.8" x14ac:dyDescent="0.4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</row>
    <row r="106" spans="1:26" ht="16.8" x14ac:dyDescent="0.4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</row>
    <row r="107" spans="1:26" ht="16.8" x14ac:dyDescent="0.4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</row>
    <row r="108" spans="1:26" ht="16.8" x14ac:dyDescent="0.4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</row>
    <row r="109" spans="1:26" ht="16.8" x14ac:dyDescent="0.4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</row>
    <row r="110" spans="1:26" ht="16.8" x14ac:dyDescent="0.4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</row>
    <row r="111" spans="1:26" ht="16.8" x14ac:dyDescent="0.4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</row>
    <row r="112" spans="1:26" ht="16.8" x14ac:dyDescent="0.4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</row>
    <row r="113" spans="1:26" ht="16.8" x14ac:dyDescent="0.4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</row>
    <row r="114" spans="1:26" ht="16.8" x14ac:dyDescent="0.4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</row>
    <row r="115" spans="1:26" ht="16.8" x14ac:dyDescent="0.4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</row>
    <row r="116" spans="1:26" ht="16.8" x14ac:dyDescent="0.4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</row>
    <row r="117" spans="1:26" ht="16.8" x14ac:dyDescent="0.4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</row>
    <row r="118" spans="1:26" ht="16.8" x14ac:dyDescent="0.4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</row>
    <row r="119" spans="1:26" ht="16.8" x14ac:dyDescent="0.4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</row>
    <row r="120" spans="1:26" ht="16.8" x14ac:dyDescent="0.4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</row>
    <row r="121" spans="1:26" ht="16.8" x14ac:dyDescent="0.4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</row>
    <row r="122" spans="1:26" ht="16.8" x14ac:dyDescent="0.4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</row>
    <row r="123" spans="1:26" ht="16.8" x14ac:dyDescent="0.4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</row>
    <row r="124" spans="1:26" ht="16.8" x14ac:dyDescent="0.4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</row>
    <row r="125" spans="1:26" ht="16.8" x14ac:dyDescent="0.4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</row>
    <row r="126" spans="1:26" ht="16.8" x14ac:dyDescent="0.4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</row>
    <row r="127" spans="1:26" ht="16.8" x14ac:dyDescent="0.4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</row>
    <row r="128" spans="1:26" ht="16.8" x14ac:dyDescent="0.4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</row>
    <row r="129" spans="1:26" ht="16.8" x14ac:dyDescent="0.4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</row>
    <row r="130" spans="1:26" ht="16.8" x14ac:dyDescent="0.4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</row>
    <row r="131" spans="1:26" ht="16.8" x14ac:dyDescent="0.4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</row>
    <row r="132" spans="1:26" ht="16.8" x14ac:dyDescent="0.4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</row>
    <row r="133" spans="1:26" ht="16.8" x14ac:dyDescent="0.4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</row>
    <row r="134" spans="1:26" ht="16.8" x14ac:dyDescent="0.4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</row>
    <row r="135" spans="1:26" ht="16.8" x14ac:dyDescent="0.4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</row>
    <row r="136" spans="1:26" ht="16.8" x14ac:dyDescent="0.4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</row>
    <row r="137" spans="1:26" ht="16.8" x14ac:dyDescent="0.4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</row>
    <row r="138" spans="1:26" ht="16.8" x14ac:dyDescent="0.4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</row>
    <row r="139" spans="1:26" ht="16.8" x14ac:dyDescent="0.4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</row>
    <row r="140" spans="1:26" ht="16.8" x14ac:dyDescent="0.4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</row>
    <row r="141" spans="1:26" ht="16.8" x14ac:dyDescent="0.4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</row>
    <row r="142" spans="1:26" ht="16.8" x14ac:dyDescent="0.4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</row>
    <row r="143" spans="1:26" ht="16.8" x14ac:dyDescent="0.4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</row>
    <row r="144" spans="1:26" ht="16.8" x14ac:dyDescent="0.4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</row>
    <row r="145" spans="1:26" ht="16.8" x14ac:dyDescent="0.4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</row>
    <row r="146" spans="1:26" ht="16.8" x14ac:dyDescent="0.4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</row>
    <row r="147" spans="1:26" ht="16.8" x14ac:dyDescent="0.4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</row>
    <row r="148" spans="1:26" ht="16.8" x14ac:dyDescent="0.4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</row>
    <row r="149" spans="1:26" ht="16.8" x14ac:dyDescent="0.4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</row>
    <row r="150" spans="1:26" ht="16.8" x14ac:dyDescent="0.4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</row>
    <row r="151" spans="1:26" ht="16.8" x14ac:dyDescent="0.4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</row>
    <row r="152" spans="1:26" ht="16.8" x14ac:dyDescent="0.4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</row>
    <row r="153" spans="1:26" ht="16.8" x14ac:dyDescent="0.4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</row>
    <row r="154" spans="1:26" ht="16.8" x14ac:dyDescent="0.4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</row>
    <row r="155" spans="1:26" ht="16.8" x14ac:dyDescent="0.4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</row>
    <row r="156" spans="1:26" ht="16.8" x14ac:dyDescent="0.4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</row>
    <row r="157" spans="1:26" ht="16.8" x14ac:dyDescent="0.4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</row>
    <row r="158" spans="1:26" ht="16.8" x14ac:dyDescent="0.4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</row>
    <row r="159" spans="1:26" ht="16.8" x14ac:dyDescent="0.4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</row>
    <row r="160" spans="1:26" ht="16.8" x14ac:dyDescent="0.4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</row>
    <row r="161" spans="1:26" ht="16.8" x14ac:dyDescent="0.4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</row>
    <row r="162" spans="1:26" ht="16.8" x14ac:dyDescent="0.4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</row>
    <row r="163" spans="1:26" ht="16.8" x14ac:dyDescent="0.4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</row>
    <row r="164" spans="1:26" ht="16.8" x14ac:dyDescent="0.4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</row>
    <row r="165" spans="1:26" ht="16.8" x14ac:dyDescent="0.4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</row>
    <row r="166" spans="1:26" ht="16.8" x14ac:dyDescent="0.4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</row>
    <row r="167" spans="1:26" ht="16.8" x14ac:dyDescent="0.4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</row>
    <row r="168" spans="1:26" ht="16.8" x14ac:dyDescent="0.4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</row>
    <row r="169" spans="1:26" ht="16.8" x14ac:dyDescent="0.4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</row>
    <row r="170" spans="1:26" ht="16.8" x14ac:dyDescent="0.4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</row>
    <row r="171" spans="1:26" ht="16.8" x14ac:dyDescent="0.4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</row>
    <row r="172" spans="1:26" ht="16.8" x14ac:dyDescent="0.4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</row>
    <row r="173" spans="1:26" ht="16.8" x14ac:dyDescent="0.4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</row>
    <row r="174" spans="1:26" ht="16.8" x14ac:dyDescent="0.4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</row>
    <row r="175" spans="1:26" ht="16.8" x14ac:dyDescent="0.4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</row>
    <row r="176" spans="1:26" ht="16.8" x14ac:dyDescent="0.4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</row>
    <row r="177" spans="1:26" ht="16.8" x14ac:dyDescent="0.4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</row>
    <row r="178" spans="1:26" ht="16.8" x14ac:dyDescent="0.4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</row>
    <row r="179" spans="1:26" ht="16.8" x14ac:dyDescent="0.4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</row>
    <row r="180" spans="1:26" ht="16.8" x14ac:dyDescent="0.4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</row>
    <row r="181" spans="1:26" ht="16.8" x14ac:dyDescent="0.4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</row>
    <row r="182" spans="1:26" ht="16.8" x14ac:dyDescent="0.4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</row>
    <row r="183" spans="1:26" ht="16.8" x14ac:dyDescent="0.4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</row>
    <row r="184" spans="1:26" ht="16.8" x14ac:dyDescent="0.4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</row>
    <row r="185" spans="1:26" ht="16.8" x14ac:dyDescent="0.4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</row>
    <row r="186" spans="1:26" ht="16.8" x14ac:dyDescent="0.4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</row>
    <row r="187" spans="1:26" ht="16.8" x14ac:dyDescent="0.4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</row>
    <row r="188" spans="1:26" ht="16.8" x14ac:dyDescent="0.4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</row>
    <row r="189" spans="1:26" ht="16.8" x14ac:dyDescent="0.4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</row>
    <row r="190" spans="1:26" ht="16.8" x14ac:dyDescent="0.4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</row>
    <row r="191" spans="1:26" ht="16.8" x14ac:dyDescent="0.4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</row>
    <row r="192" spans="1:26" ht="16.8" x14ac:dyDescent="0.4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</row>
    <row r="193" spans="1:26" ht="16.8" x14ac:dyDescent="0.4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</row>
    <row r="194" spans="1:26" ht="16.8" x14ac:dyDescent="0.4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</row>
    <row r="195" spans="1:26" ht="16.8" x14ac:dyDescent="0.4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</row>
    <row r="196" spans="1:26" ht="16.8" x14ac:dyDescent="0.4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</row>
    <row r="197" spans="1:26" ht="16.8" x14ac:dyDescent="0.4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</row>
    <row r="198" spans="1:26" ht="16.8" x14ac:dyDescent="0.4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</row>
    <row r="199" spans="1:26" ht="16.8" x14ac:dyDescent="0.4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</row>
    <row r="200" spans="1:26" ht="16.8" x14ac:dyDescent="0.4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</row>
    <row r="201" spans="1:26" ht="16.8" x14ac:dyDescent="0.4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</row>
    <row r="202" spans="1:26" ht="16.8" x14ac:dyDescent="0.4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</row>
    <row r="203" spans="1:26" ht="16.8" x14ac:dyDescent="0.4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</row>
    <row r="204" spans="1:26" ht="16.8" x14ac:dyDescent="0.4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</row>
    <row r="205" spans="1:26" ht="16.8" x14ac:dyDescent="0.4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</row>
    <row r="206" spans="1:26" ht="16.8" x14ac:dyDescent="0.4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</row>
    <row r="207" spans="1:26" ht="16.8" x14ac:dyDescent="0.4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</row>
    <row r="208" spans="1:26" ht="16.8" x14ac:dyDescent="0.4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</row>
    <row r="209" spans="1:26" ht="16.8" x14ac:dyDescent="0.4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</row>
    <row r="210" spans="1:26" ht="16.8" x14ac:dyDescent="0.4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</row>
    <row r="211" spans="1:26" ht="16.8" x14ac:dyDescent="0.4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</row>
    <row r="212" spans="1:26" ht="16.8" x14ac:dyDescent="0.4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</row>
    <row r="213" spans="1:26" ht="16.8" x14ac:dyDescent="0.4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</row>
    <row r="214" spans="1:26" ht="16.8" x14ac:dyDescent="0.4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</row>
    <row r="215" spans="1:26" ht="16.8" x14ac:dyDescent="0.4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</row>
    <row r="216" spans="1:26" ht="16.8" x14ac:dyDescent="0.4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</row>
    <row r="217" spans="1:26" ht="16.8" x14ac:dyDescent="0.4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</row>
    <row r="218" spans="1:26" ht="16.8" x14ac:dyDescent="0.4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</row>
    <row r="219" spans="1:26" ht="16.8" x14ac:dyDescent="0.4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</row>
    <row r="220" spans="1:26" ht="16.8" x14ac:dyDescent="0.4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</row>
    <row r="221" spans="1:26" ht="16.8" x14ac:dyDescent="0.4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</row>
    <row r="222" spans="1:26" ht="16.8" x14ac:dyDescent="0.4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</row>
    <row r="223" spans="1:26" ht="16.8" x14ac:dyDescent="0.4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</row>
    <row r="224" spans="1:26" ht="16.8" x14ac:dyDescent="0.4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</row>
    <row r="225" spans="1:26" ht="16.8" x14ac:dyDescent="0.4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</row>
    <row r="226" spans="1:26" ht="16.8" x14ac:dyDescent="0.4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</row>
    <row r="227" spans="1:26" ht="16.8" x14ac:dyDescent="0.4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</row>
    <row r="228" spans="1:26" ht="16.8" x14ac:dyDescent="0.4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</row>
    <row r="229" spans="1:26" ht="16.8" x14ac:dyDescent="0.4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</row>
    <row r="230" spans="1:26" ht="16.8" x14ac:dyDescent="0.4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</row>
    <row r="231" spans="1:26" ht="16.8" x14ac:dyDescent="0.4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</row>
    <row r="232" spans="1:26" ht="16.8" x14ac:dyDescent="0.4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</row>
    <row r="233" spans="1:26" ht="16.8" x14ac:dyDescent="0.4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</row>
    <row r="234" spans="1:26" ht="16.8" x14ac:dyDescent="0.4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</row>
    <row r="235" spans="1:26" ht="16.8" x14ac:dyDescent="0.4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</row>
    <row r="236" spans="1:26" ht="16.8" x14ac:dyDescent="0.4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</row>
    <row r="237" spans="1:26" ht="16.8" x14ac:dyDescent="0.4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</row>
    <row r="238" spans="1:26" ht="16.8" x14ac:dyDescent="0.4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</row>
    <row r="239" spans="1:26" ht="16.8" x14ac:dyDescent="0.4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</row>
    <row r="240" spans="1:26" ht="16.8" x14ac:dyDescent="0.4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</row>
    <row r="241" spans="1:26" ht="16.8" x14ac:dyDescent="0.4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</row>
    <row r="242" spans="1:26" ht="16.8" x14ac:dyDescent="0.4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</row>
    <row r="243" spans="1:26" ht="16.8" x14ac:dyDescent="0.4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</row>
    <row r="244" spans="1:26" ht="16.8" x14ac:dyDescent="0.4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</row>
    <row r="245" spans="1:26" ht="16.8" x14ac:dyDescent="0.4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</row>
    <row r="246" spans="1:26" ht="16.8" x14ac:dyDescent="0.4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</row>
    <row r="247" spans="1:26" ht="16.8" x14ac:dyDescent="0.4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</row>
    <row r="248" spans="1:26" ht="16.8" x14ac:dyDescent="0.4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</row>
    <row r="249" spans="1:26" ht="16.8" x14ac:dyDescent="0.4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</row>
    <row r="250" spans="1:26" ht="16.8" x14ac:dyDescent="0.4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</row>
    <row r="251" spans="1:26" ht="16.8" x14ac:dyDescent="0.4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</row>
    <row r="252" spans="1:26" ht="16.8" x14ac:dyDescent="0.4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</row>
    <row r="253" spans="1:26" ht="16.8" x14ac:dyDescent="0.4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</row>
    <row r="254" spans="1:26" ht="16.8" x14ac:dyDescent="0.4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</row>
    <row r="255" spans="1:26" ht="16.8" x14ac:dyDescent="0.4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</row>
    <row r="256" spans="1:26" ht="16.8" x14ac:dyDescent="0.4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</row>
    <row r="257" spans="1:26" ht="16.8" x14ac:dyDescent="0.4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</row>
    <row r="258" spans="1:26" ht="16.8" x14ac:dyDescent="0.4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</row>
    <row r="259" spans="1:26" ht="16.8" x14ac:dyDescent="0.4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</row>
    <row r="260" spans="1:26" ht="16.8" x14ac:dyDescent="0.4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</row>
    <row r="261" spans="1:26" ht="16.8" x14ac:dyDescent="0.4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</row>
    <row r="262" spans="1:26" ht="16.8" x14ac:dyDescent="0.4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</row>
    <row r="263" spans="1:26" ht="16.8" x14ac:dyDescent="0.4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</row>
    <row r="264" spans="1:26" ht="16.8" x14ac:dyDescent="0.4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</row>
    <row r="265" spans="1:26" ht="16.8" x14ac:dyDescent="0.4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</row>
    <row r="266" spans="1:26" ht="16.8" x14ac:dyDescent="0.4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</row>
    <row r="267" spans="1:26" ht="16.8" x14ac:dyDescent="0.4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</row>
    <row r="268" spans="1:26" ht="16.8" x14ac:dyDescent="0.4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</row>
    <row r="269" spans="1:26" ht="16.8" x14ac:dyDescent="0.4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</row>
    <row r="270" spans="1:26" ht="16.8" x14ac:dyDescent="0.4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</row>
    <row r="271" spans="1:26" ht="16.8" x14ac:dyDescent="0.4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</row>
    <row r="272" spans="1:26" ht="16.8" x14ac:dyDescent="0.4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</row>
    <row r="273" spans="1:26" ht="16.8" x14ac:dyDescent="0.4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</row>
    <row r="274" spans="1:26" ht="16.8" x14ac:dyDescent="0.4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</row>
    <row r="275" spans="1:26" ht="16.8" x14ac:dyDescent="0.4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</row>
    <row r="276" spans="1:26" ht="16.8" x14ac:dyDescent="0.4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</row>
    <row r="277" spans="1:26" ht="16.8" x14ac:dyDescent="0.4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</row>
    <row r="278" spans="1:26" ht="16.8" x14ac:dyDescent="0.4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</row>
    <row r="279" spans="1:26" ht="16.8" x14ac:dyDescent="0.4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</row>
    <row r="280" spans="1:26" ht="16.8" x14ac:dyDescent="0.4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</row>
    <row r="281" spans="1:26" ht="16.8" x14ac:dyDescent="0.4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</row>
    <row r="282" spans="1:26" ht="16.8" x14ac:dyDescent="0.4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</row>
    <row r="283" spans="1:26" ht="16.8" x14ac:dyDescent="0.4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</row>
    <row r="284" spans="1:26" ht="16.8" x14ac:dyDescent="0.4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</row>
    <row r="285" spans="1:26" ht="16.8" x14ac:dyDescent="0.4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</row>
    <row r="286" spans="1:26" ht="16.8" x14ac:dyDescent="0.4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</row>
    <row r="287" spans="1:26" ht="16.8" x14ac:dyDescent="0.4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</row>
    <row r="288" spans="1:26" ht="16.8" x14ac:dyDescent="0.4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</row>
    <row r="289" spans="1:26" ht="16.8" x14ac:dyDescent="0.4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</row>
    <row r="290" spans="1:26" ht="16.8" x14ac:dyDescent="0.4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</row>
    <row r="291" spans="1:26" ht="16.8" x14ac:dyDescent="0.4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</row>
    <row r="292" spans="1:26" ht="16.8" x14ac:dyDescent="0.4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</row>
    <row r="293" spans="1:26" ht="16.8" x14ac:dyDescent="0.4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</row>
    <row r="294" spans="1:26" ht="16.8" x14ac:dyDescent="0.4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</row>
    <row r="295" spans="1:26" ht="16.8" x14ac:dyDescent="0.4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</row>
    <row r="296" spans="1:26" ht="16.8" x14ac:dyDescent="0.4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</row>
    <row r="297" spans="1:26" ht="16.8" x14ac:dyDescent="0.4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</row>
    <row r="298" spans="1:26" ht="16.8" x14ac:dyDescent="0.4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</row>
    <row r="299" spans="1:26" ht="16.8" x14ac:dyDescent="0.4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</row>
    <row r="300" spans="1:26" ht="16.8" x14ac:dyDescent="0.4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</row>
    <row r="301" spans="1:26" ht="16.8" x14ac:dyDescent="0.4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</row>
    <row r="302" spans="1:26" ht="16.8" x14ac:dyDescent="0.4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</row>
    <row r="303" spans="1:26" ht="16.8" x14ac:dyDescent="0.4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</row>
    <row r="304" spans="1:26" ht="16.8" x14ac:dyDescent="0.4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</row>
    <row r="305" spans="1:26" ht="16.8" x14ac:dyDescent="0.4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</row>
    <row r="306" spans="1:26" ht="16.8" x14ac:dyDescent="0.4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</row>
    <row r="307" spans="1:26" ht="16.8" x14ac:dyDescent="0.4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</row>
    <row r="308" spans="1:26" ht="16.8" x14ac:dyDescent="0.4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</row>
    <row r="309" spans="1:26" ht="16.8" x14ac:dyDescent="0.4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</row>
    <row r="310" spans="1:26" ht="16.8" x14ac:dyDescent="0.4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</row>
    <row r="311" spans="1:26" ht="16.8" x14ac:dyDescent="0.4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</row>
    <row r="312" spans="1:26" ht="16.8" x14ac:dyDescent="0.4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</row>
    <row r="313" spans="1:26" ht="16.8" x14ac:dyDescent="0.4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</row>
    <row r="314" spans="1:26" ht="16.8" x14ac:dyDescent="0.4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</row>
    <row r="315" spans="1:26" ht="16.8" x14ac:dyDescent="0.4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</row>
    <row r="316" spans="1:26" ht="16.8" x14ac:dyDescent="0.4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</row>
    <row r="317" spans="1:26" ht="16.8" x14ac:dyDescent="0.4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</row>
    <row r="318" spans="1:26" ht="16.8" x14ac:dyDescent="0.4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</row>
    <row r="319" spans="1:26" ht="16.8" x14ac:dyDescent="0.4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</row>
    <row r="320" spans="1:26" ht="16.8" x14ac:dyDescent="0.4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</row>
    <row r="321" spans="1:26" ht="16.8" x14ac:dyDescent="0.4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</row>
    <row r="322" spans="1:26" ht="16.8" x14ac:dyDescent="0.4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</row>
    <row r="323" spans="1:26" ht="16.8" x14ac:dyDescent="0.4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</row>
    <row r="324" spans="1:26" ht="16.8" x14ac:dyDescent="0.4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</row>
    <row r="325" spans="1:26" ht="16.8" x14ac:dyDescent="0.4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</row>
    <row r="326" spans="1:26" ht="16.8" x14ac:dyDescent="0.4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</row>
    <row r="327" spans="1:26" ht="16.8" x14ac:dyDescent="0.4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</row>
    <row r="328" spans="1:26" ht="16.8" x14ac:dyDescent="0.4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</row>
    <row r="329" spans="1:26" ht="16.8" x14ac:dyDescent="0.4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</row>
    <row r="330" spans="1:26" ht="16.8" x14ac:dyDescent="0.4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</row>
    <row r="331" spans="1:26" ht="16.8" x14ac:dyDescent="0.4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</row>
    <row r="332" spans="1:26" ht="16.8" x14ac:dyDescent="0.4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</row>
    <row r="333" spans="1:26" ht="16.8" x14ac:dyDescent="0.4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</row>
    <row r="334" spans="1:26" ht="16.8" x14ac:dyDescent="0.4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</row>
    <row r="335" spans="1:26" ht="16.8" x14ac:dyDescent="0.4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</row>
    <row r="336" spans="1:26" ht="16.8" x14ac:dyDescent="0.4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</row>
    <row r="337" spans="1:26" ht="16.8" x14ac:dyDescent="0.4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</row>
    <row r="338" spans="1:26" ht="16.8" x14ac:dyDescent="0.4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</row>
    <row r="339" spans="1:26" ht="16.8" x14ac:dyDescent="0.4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</row>
    <row r="340" spans="1:26" ht="16.8" x14ac:dyDescent="0.4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</row>
    <row r="341" spans="1:26" ht="16.8" x14ac:dyDescent="0.4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</row>
    <row r="342" spans="1:26" ht="16.8" x14ac:dyDescent="0.4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</row>
    <row r="343" spans="1:26" ht="16.8" x14ac:dyDescent="0.4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</row>
    <row r="344" spans="1:26" ht="16.8" x14ac:dyDescent="0.4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</row>
    <row r="345" spans="1:26" ht="16.8" x14ac:dyDescent="0.4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</row>
    <row r="346" spans="1:26" ht="16.8" x14ac:dyDescent="0.4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</row>
    <row r="347" spans="1:26" ht="16.8" x14ac:dyDescent="0.4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</row>
    <row r="348" spans="1:26" ht="16.8" x14ac:dyDescent="0.4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</row>
    <row r="349" spans="1:26" ht="16.8" x14ac:dyDescent="0.4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</row>
    <row r="350" spans="1:26" ht="16.8" x14ac:dyDescent="0.4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</row>
    <row r="351" spans="1:26" ht="16.8" x14ac:dyDescent="0.4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</row>
    <row r="352" spans="1:26" ht="16.8" x14ac:dyDescent="0.4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</row>
    <row r="353" spans="1:26" ht="16.8" x14ac:dyDescent="0.4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</row>
    <row r="354" spans="1:26" ht="16.8" x14ac:dyDescent="0.4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</row>
    <row r="355" spans="1:26" ht="16.8" x14ac:dyDescent="0.4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</row>
    <row r="356" spans="1:26" ht="16.8" x14ac:dyDescent="0.4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</row>
    <row r="357" spans="1:26" ht="16.8" x14ac:dyDescent="0.4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</row>
    <row r="358" spans="1:26" ht="16.8" x14ac:dyDescent="0.4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</row>
    <row r="359" spans="1:26" ht="16.8" x14ac:dyDescent="0.4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</row>
    <row r="360" spans="1:26" ht="16.8" x14ac:dyDescent="0.4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</row>
    <row r="361" spans="1:26" ht="16.8" x14ac:dyDescent="0.4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</row>
    <row r="362" spans="1:26" ht="16.8" x14ac:dyDescent="0.4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</row>
    <row r="363" spans="1:26" ht="16.8" x14ac:dyDescent="0.4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</row>
    <row r="364" spans="1:26" ht="16.8" x14ac:dyDescent="0.4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</row>
    <row r="365" spans="1:26" ht="16.8" x14ac:dyDescent="0.4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</row>
    <row r="366" spans="1:26" ht="16.8" x14ac:dyDescent="0.4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</row>
    <row r="367" spans="1:26" ht="16.8" x14ac:dyDescent="0.4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</row>
    <row r="368" spans="1:26" ht="16.8" x14ac:dyDescent="0.4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</row>
    <row r="369" spans="1:26" ht="16.8" x14ac:dyDescent="0.4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</row>
    <row r="370" spans="1:26" ht="16.8" x14ac:dyDescent="0.4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</row>
    <row r="371" spans="1:26" ht="16.8" x14ac:dyDescent="0.4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</row>
    <row r="372" spans="1:26" ht="16.8" x14ac:dyDescent="0.4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</row>
    <row r="373" spans="1:26" ht="16.8" x14ac:dyDescent="0.4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</row>
    <row r="374" spans="1:26" ht="16.8" x14ac:dyDescent="0.4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</row>
    <row r="375" spans="1:26" ht="16.8" x14ac:dyDescent="0.4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</row>
    <row r="376" spans="1:26" ht="16.8" x14ac:dyDescent="0.4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</row>
    <row r="377" spans="1:26" ht="16.8" x14ac:dyDescent="0.4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</row>
    <row r="378" spans="1:26" ht="16.8" x14ac:dyDescent="0.4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</row>
    <row r="379" spans="1:26" ht="16.8" x14ac:dyDescent="0.4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</row>
    <row r="380" spans="1:26" ht="16.8" x14ac:dyDescent="0.4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</row>
    <row r="381" spans="1:26" ht="16.8" x14ac:dyDescent="0.4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</row>
    <row r="382" spans="1:26" ht="16.8" x14ac:dyDescent="0.4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</row>
    <row r="383" spans="1:26" ht="16.8" x14ac:dyDescent="0.4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</row>
    <row r="384" spans="1:26" ht="16.8" x14ac:dyDescent="0.4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</row>
    <row r="385" spans="1:26" ht="16.8" x14ac:dyDescent="0.4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</row>
    <row r="386" spans="1:26" ht="16.8" x14ac:dyDescent="0.4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</row>
    <row r="387" spans="1:26" ht="16.8" x14ac:dyDescent="0.4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</row>
    <row r="388" spans="1:26" ht="16.8" x14ac:dyDescent="0.4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</row>
    <row r="389" spans="1:26" ht="16.8" x14ac:dyDescent="0.4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</row>
    <row r="390" spans="1:26" ht="16.8" x14ac:dyDescent="0.4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</row>
    <row r="391" spans="1:26" ht="16.8" x14ac:dyDescent="0.4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</row>
    <row r="392" spans="1:26" ht="16.8" x14ac:dyDescent="0.4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</row>
    <row r="393" spans="1:26" ht="16.8" x14ac:dyDescent="0.4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</row>
    <row r="394" spans="1:26" ht="16.8" x14ac:dyDescent="0.4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</row>
    <row r="395" spans="1:26" ht="16.8" x14ac:dyDescent="0.4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</row>
    <row r="396" spans="1:26" ht="16.8" x14ac:dyDescent="0.4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</row>
    <row r="397" spans="1:26" ht="16.8" x14ac:dyDescent="0.4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</row>
    <row r="398" spans="1:26" ht="16.8" x14ac:dyDescent="0.4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</row>
    <row r="399" spans="1:26" ht="16.8" x14ac:dyDescent="0.4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</row>
    <row r="400" spans="1:26" ht="16.8" x14ac:dyDescent="0.4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</row>
    <row r="401" spans="1:26" ht="16.8" x14ac:dyDescent="0.4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</row>
    <row r="402" spans="1:26" ht="16.8" x14ac:dyDescent="0.4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</row>
    <row r="403" spans="1:26" ht="16.8" x14ac:dyDescent="0.4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</row>
    <row r="404" spans="1:26" ht="16.8" x14ac:dyDescent="0.4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</row>
    <row r="405" spans="1:26" ht="16.8" x14ac:dyDescent="0.4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</row>
    <row r="406" spans="1:26" ht="16.8" x14ac:dyDescent="0.4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</row>
    <row r="407" spans="1:26" ht="16.8" x14ac:dyDescent="0.4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</row>
    <row r="408" spans="1:26" ht="16.8" x14ac:dyDescent="0.4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</row>
    <row r="409" spans="1:26" ht="16.8" x14ac:dyDescent="0.4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</row>
    <row r="410" spans="1:26" ht="16.8" x14ac:dyDescent="0.4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</row>
    <row r="411" spans="1:26" ht="16.8" x14ac:dyDescent="0.4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</row>
    <row r="412" spans="1:26" ht="16.8" x14ac:dyDescent="0.4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</row>
    <row r="413" spans="1:26" ht="16.8" x14ac:dyDescent="0.4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</row>
    <row r="414" spans="1:26" ht="16.8" x14ac:dyDescent="0.4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</row>
    <row r="415" spans="1:26" ht="16.8" x14ac:dyDescent="0.4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</row>
    <row r="416" spans="1:26" ht="16.8" x14ac:dyDescent="0.4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</row>
    <row r="417" spans="1:26" ht="16.8" x14ac:dyDescent="0.4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</row>
    <row r="418" spans="1:26" ht="16.8" x14ac:dyDescent="0.4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</row>
    <row r="419" spans="1:26" ht="16.8" x14ac:dyDescent="0.4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</row>
    <row r="420" spans="1:26" ht="16.8" x14ac:dyDescent="0.4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</row>
    <row r="421" spans="1:26" ht="16.8" x14ac:dyDescent="0.4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</row>
    <row r="422" spans="1:26" ht="16.8" x14ac:dyDescent="0.4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</row>
    <row r="423" spans="1:26" ht="16.8" x14ac:dyDescent="0.4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</row>
    <row r="424" spans="1:26" ht="16.8" x14ac:dyDescent="0.4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</row>
    <row r="425" spans="1:26" ht="16.8" x14ac:dyDescent="0.4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</row>
    <row r="426" spans="1:26" ht="16.8" x14ac:dyDescent="0.4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</row>
    <row r="427" spans="1:26" ht="16.8" x14ac:dyDescent="0.4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</row>
    <row r="428" spans="1:26" ht="16.8" x14ac:dyDescent="0.4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</row>
    <row r="429" spans="1:26" ht="16.8" x14ac:dyDescent="0.4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</row>
    <row r="430" spans="1:26" ht="16.8" x14ac:dyDescent="0.4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</row>
    <row r="431" spans="1:26" ht="16.8" x14ac:dyDescent="0.4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</row>
    <row r="432" spans="1:26" ht="16.8" x14ac:dyDescent="0.4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</row>
    <row r="433" spans="1:26" ht="16.8" x14ac:dyDescent="0.4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</row>
    <row r="434" spans="1:26" ht="16.8" x14ac:dyDescent="0.4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</row>
    <row r="435" spans="1:26" ht="16.8" x14ac:dyDescent="0.4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</row>
    <row r="436" spans="1:26" ht="16.8" x14ac:dyDescent="0.4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</row>
    <row r="437" spans="1:26" ht="16.8" x14ac:dyDescent="0.4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</row>
    <row r="438" spans="1:26" ht="16.8" x14ac:dyDescent="0.4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</row>
    <row r="439" spans="1:26" ht="16.8" x14ac:dyDescent="0.4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</row>
    <row r="440" spans="1:26" ht="16.8" x14ac:dyDescent="0.4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</row>
    <row r="441" spans="1:26" ht="16.8" x14ac:dyDescent="0.4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</row>
    <row r="442" spans="1:26" ht="16.8" x14ac:dyDescent="0.4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</row>
    <row r="443" spans="1:26" ht="16.8" x14ac:dyDescent="0.4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</row>
    <row r="444" spans="1:26" ht="16.8" x14ac:dyDescent="0.4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</row>
    <row r="445" spans="1:26" ht="16.8" x14ac:dyDescent="0.4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</row>
    <row r="446" spans="1:26" ht="16.8" x14ac:dyDescent="0.4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</row>
    <row r="447" spans="1:26" ht="16.8" x14ac:dyDescent="0.4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</row>
    <row r="448" spans="1:26" ht="16.8" x14ac:dyDescent="0.4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</row>
    <row r="449" spans="1:26" ht="16.8" x14ac:dyDescent="0.4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</row>
    <row r="450" spans="1:26" ht="16.8" x14ac:dyDescent="0.4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</row>
    <row r="451" spans="1:26" ht="16.8" x14ac:dyDescent="0.4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</row>
    <row r="452" spans="1:26" ht="16.8" x14ac:dyDescent="0.4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</row>
    <row r="453" spans="1:26" ht="16.8" x14ac:dyDescent="0.4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</row>
    <row r="454" spans="1:26" ht="16.8" x14ac:dyDescent="0.4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</row>
    <row r="455" spans="1:26" ht="16.8" x14ac:dyDescent="0.4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</row>
    <row r="456" spans="1:26" ht="16.8" x14ac:dyDescent="0.4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</row>
    <row r="457" spans="1:26" ht="16.8" x14ac:dyDescent="0.4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</row>
    <row r="458" spans="1:26" ht="16.8" x14ac:dyDescent="0.4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</row>
    <row r="459" spans="1:26" ht="16.8" x14ac:dyDescent="0.4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</row>
    <row r="460" spans="1:26" ht="16.8" x14ac:dyDescent="0.4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</row>
    <row r="461" spans="1:26" ht="16.8" x14ac:dyDescent="0.4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</row>
    <row r="462" spans="1:26" ht="16.8" x14ac:dyDescent="0.4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</row>
    <row r="463" spans="1:26" ht="16.8" x14ac:dyDescent="0.4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</row>
    <row r="464" spans="1:26" ht="16.8" x14ac:dyDescent="0.4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</row>
    <row r="465" spans="1:26" ht="16.8" x14ac:dyDescent="0.4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</row>
    <row r="466" spans="1:26" ht="16.8" x14ac:dyDescent="0.4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</row>
    <row r="467" spans="1:26" ht="16.8" x14ac:dyDescent="0.4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</row>
    <row r="468" spans="1:26" ht="16.8" x14ac:dyDescent="0.4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</row>
    <row r="469" spans="1:26" ht="16.8" x14ac:dyDescent="0.4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</row>
    <row r="470" spans="1:26" ht="16.8" x14ac:dyDescent="0.4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</row>
    <row r="471" spans="1:26" ht="16.8" x14ac:dyDescent="0.4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</row>
    <row r="472" spans="1:26" ht="16.8" x14ac:dyDescent="0.4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</row>
    <row r="473" spans="1:26" ht="16.8" x14ac:dyDescent="0.4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</row>
    <row r="474" spans="1:26" ht="16.8" x14ac:dyDescent="0.4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</row>
    <row r="475" spans="1:26" ht="16.8" x14ac:dyDescent="0.4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</row>
    <row r="476" spans="1:26" ht="16.8" x14ac:dyDescent="0.4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</row>
    <row r="477" spans="1:26" ht="16.8" x14ac:dyDescent="0.4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</row>
    <row r="478" spans="1:26" ht="16.8" x14ac:dyDescent="0.4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</row>
    <row r="479" spans="1:26" ht="16.8" x14ac:dyDescent="0.4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</row>
    <row r="480" spans="1:26" ht="16.8" x14ac:dyDescent="0.4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</row>
    <row r="481" spans="1:26" ht="16.8" x14ac:dyDescent="0.4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</row>
    <row r="482" spans="1:26" ht="16.8" x14ac:dyDescent="0.4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</row>
    <row r="483" spans="1:26" ht="16.8" x14ac:dyDescent="0.4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</row>
    <row r="484" spans="1:26" ht="16.8" x14ac:dyDescent="0.4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</row>
    <row r="485" spans="1:26" ht="16.8" x14ac:dyDescent="0.4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</row>
    <row r="486" spans="1:26" ht="16.8" x14ac:dyDescent="0.4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</row>
    <row r="487" spans="1:26" ht="16.8" x14ac:dyDescent="0.4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</row>
    <row r="488" spans="1:26" ht="16.8" x14ac:dyDescent="0.4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</row>
    <row r="489" spans="1:26" ht="16.8" x14ac:dyDescent="0.4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</row>
    <row r="490" spans="1:26" ht="16.8" x14ac:dyDescent="0.4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</row>
    <row r="491" spans="1:26" ht="16.8" x14ac:dyDescent="0.4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</row>
    <row r="492" spans="1:26" ht="16.8" x14ac:dyDescent="0.4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</row>
    <row r="493" spans="1:26" ht="16.8" x14ac:dyDescent="0.4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</row>
    <row r="494" spans="1:26" ht="16.8" x14ac:dyDescent="0.4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</row>
    <row r="495" spans="1:26" ht="16.8" x14ac:dyDescent="0.4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</row>
    <row r="496" spans="1:26" ht="16.8" x14ac:dyDescent="0.4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</row>
    <row r="497" spans="1:26" ht="16.8" x14ac:dyDescent="0.4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</row>
    <row r="498" spans="1:26" ht="16.8" x14ac:dyDescent="0.4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</row>
    <row r="499" spans="1:26" ht="16.8" x14ac:dyDescent="0.4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</row>
    <row r="500" spans="1:26" ht="16.8" x14ac:dyDescent="0.4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</row>
    <row r="501" spans="1:26" ht="16.8" x14ac:dyDescent="0.4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</row>
    <row r="502" spans="1:26" ht="16.8" x14ac:dyDescent="0.4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</row>
    <row r="503" spans="1:26" ht="16.8" x14ac:dyDescent="0.4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</row>
    <row r="504" spans="1:26" ht="16.8" x14ac:dyDescent="0.4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</row>
    <row r="505" spans="1:26" ht="16.8" x14ac:dyDescent="0.4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</row>
    <row r="506" spans="1:26" ht="16.8" x14ac:dyDescent="0.4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</row>
    <row r="507" spans="1:26" ht="16.8" x14ac:dyDescent="0.4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</row>
    <row r="508" spans="1:26" ht="16.8" x14ac:dyDescent="0.4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</row>
    <row r="509" spans="1:26" ht="16.8" x14ac:dyDescent="0.4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</row>
    <row r="510" spans="1:26" ht="16.8" x14ac:dyDescent="0.4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</row>
    <row r="511" spans="1:26" ht="16.8" x14ac:dyDescent="0.4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</row>
    <row r="512" spans="1:26" ht="16.8" x14ac:dyDescent="0.4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</row>
    <row r="513" spans="1:26" ht="16.8" x14ac:dyDescent="0.4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</row>
    <row r="514" spans="1:26" ht="16.8" x14ac:dyDescent="0.4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</row>
    <row r="515" spans="1:26" ht="16.8" x14ac:dyDescent="0.4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</row>
    <row r="516" spans="1:26" ht="16.8" x14ac:dyDescent="0.4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</row>
    <row r="517" spans="1:26" ht="16.8" x14ac:dyDescent="0.4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</row>
    <row r="518" spans="1:26" ht="16.8" x14ac:dyDescent="0.4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</row>
    <row r="519" spans="1:26" ht="16.8" x14ac:dyDescent="0.4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</row>
    <row r="520" spans="1:26" ht="16.8" x14ac:dyDescent="0.4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</row>
    <row r="521" spans="1:26" ht="16.8" x14ac:dyDescent="0.4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</row>
    <row r="522" spans="1:26" ht="16.8" x14ac:dyDescent="0.4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</row>
    <row r="523" spans="1:26" ht="16.8" x14ac:dyDescent="0.4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</row>
    <row r="524" spans="1:26" ht="16.8" x14ac:dyDescent="0.4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</row>
    <row r="525" spans="1:26" ht="16.8" x14ac:dyDescent="0.4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</row>
    <row r="526" spans="1:26" ht="16.8" x14ac:dyDescent="0.4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</row>
    <row r="527" spans="1:26" ht="16.8" x14ac:dyDescent="0.4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</row>
    <row r="528" spans="1:26" ht="16.8" x14ac:dyDescent="0.4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</row>
    <row r="529" spans="1:26" ht="16.8" x14ac:dyDescent="0.4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</row>
    <row r="530" spans="1:26" ht="16.8" x14ac:dyDescent="0.4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</row>
    <row r="531" spans="1:26" ht="16.8" x14ac:dyDescent="0.4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</row>
    <row r="532" spans="1:26" ht="16.8" x14ac:dyDescent="0.4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</row>
    <row r="533" spans="1:26" ht="16.8" x14ac:dyDescent="0.4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</row>
    <row r="534" spans="1:26" ht="16.8" x14ac:dyDescent="0.4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</row>
    <row r="535" spans="1:26" ht="16.8" x14ac:dyDescent="0.4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</row>
    <row r="536" spans="1:26" ht="16.8" x14ac:dyDescent="0.4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</row>
    <row r="537" spans="1:26" ht="16.8" x14ac:dyDescent="0.4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</row>
    <row r="538" spans="1:26" ht="16.8" x14ac:dyDescent="0.4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</row>
    <row r="539" spans="1:26" ht="16.8" x14ac:dyDescent="0.4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</row>
    <row r="540" spans="1:26" ht="16.8" x14ac:dyDescent="0.4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</row>
    <row r="541" spans="1:26" ht="16.8" x14ac:dyDescent="0.4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</row>
    <row r="542" spans="1:26" ht="16.8" x14ac:dyDescent="0.4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</row>
    <row r="543" spans="1:26" ht="16.8" x14ac:dyDescent="0.4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</row>
    <row r="544" spans="1:26" ht="16.8" x14ac:dyDescent="0.4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</row>
    <row r="545" spans="1:26" ht="16.8" x14ac:dyDescent="0.4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</row>
    <row r="546" spans="1:26" ht="16.8" x14ac:dyDescent="0.4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</row>
    <row r="547" spans="1:26" ht="16.8" x14ac:dyDescent="0.4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</row>
    <row r="548" spans="1:26" ht="16.8" x14ac:dyDescent="0.4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</row>
    <row r="549" spans="1:26" ht="16.8" x14ac:dyDescent="0.4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</row>
    <row r="550" spans="1:26" ht="16.8" x14ac:dyDescent="0.4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</row>
    <row r="551" spans="1:26" ht="16.8" x14ac:dyDescent="0.4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</row>
    <row r="552" spans="1:26" ht="16.8" x14ac:dyDescent="0.4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</row>
    <row r="553" spans="1:26" ht="16.8" x14ac:dyDescent="0.4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</row>
    <row r="554" spans="1:26" ht="16.8" x14ac:dyDescent="0.4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</row>
    <row r="555" spans="1:26" ht="16.8" x14ac:dyDescent="0.4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</row>
    <row r="556" spans="1:26" ht="16.8" x14ac:dyDescent="0.4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</row>
    <row r="557" spans="1:26" ht="16.8" x14ac:dyDescent="0.4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</row>
    <row r="558" spans="1:26" ht="16.8" x14ac:dyDescent="0.4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</row>
    <row r="559" spans="1:26" ht="16.8" x14ac:dyDescent="0.4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</row>
    <row r="560" spans="1:26" ht="16.8" x14ac:dyDescent="0.4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</row>
    <row r="561" spans="1:26" ht="16.8" x14ac:dyDescent="0.4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</row>
    <row r="562" spans="1:26" ht="16.8" x14ac:dyDescent="0.4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</row>
    <row r="563" spans="1:26" ht="16.8" x14ac:dyDescent="0.4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</row>
    <row r="564" spans="1:26" ht="16.8" x14ac:dyDescent="0.4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</row>
    <row r="565" spans="1:26" ht="16.8" x14ac:dyDescent="0.4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</row>
    <row r="566" spans="1:26" ht="16.8" x14ac:dyDescent="0.4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</row>
    <row r="567" spans="1:26" ht="16.8" x14ac:dyDescent="0.4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</row>
    <row r="568" spans="1:26" ht="16.8" x14ac:dyDescent="0.4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</row>
    <row r="569" spans="1:26" ht="16.8" x14ac:dyDescent="0.4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</row>
    <row r="570" spans="1:26" ht="16.8" x14ac:dyDescent="0.4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</row>
    <row r="571" spans="1:26" ht="16.8" x14ac:dyDescent="0.4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</row>
    <row r="572" spans="1:26" ht="16.8" x14ac:dyDescent="0.4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</row>
    <row r="573" spans="1:26" ht="16.8" x14ac:dyDescent="0.4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</row>
    <row r="574" spans="1:26" ht="16.8" x14ac:dyDescent="0.4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</row>
    <row r="575" spans="1:26" ht="16.8" x14ac:dyDescent="0.4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</row>
    <row r="576" spans="1:26" ht="16.8" x14ac:dyDescent="0.4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</row>
    <row r="577" spans="1:26" ht="16.8" x14ac:dyDescent="0.4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</row>
    <row r="578" spans="1:26" ht="16.8" x14ac:dyDescent="0.4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</row>
    <row r="579" spans="1:26" ht="16.8" x14ac:dyDescent="0.4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</row>
    <row r="580" spans="1:26" ht="16.8" x14ac:dyDescent="0.4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</row>
    <row r="581" spans="1:26" ht="16.8" x14ac:dyDescent="0.4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</row>
    <row r="582" spans="1:26" ht="16.8" x14ac:dyDescent="0.4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</row>
    <row r="583" spans="1:26" ht="16.8" x14ac:dyDescent="0.4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</row>
    <row r="584" spans="1:26" ht="16.8" x14ac:dyDescent="0.4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</row>
    <row r="585" spans="1:26" ht="16.8" x14ac:dyDescent="0.4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</row>
    <row r="586" spans="1:26" ht="16.8" x14ac:dyDescent="0.4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</row>
    <row r="587" spans="1:26" ht="16.8" x14ac:dyDescent="0.4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</row>
    <row r="588" spans="1:26" ht="16.8" x14ac:dyDescent="0.4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</row>
    <row r="589" spans="1:26" ht="16.8" x14ac:dyDescent="0.4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</row>
    <row r="590" spans="1:26" ht="16.8" x14ac:dyDescent="0.4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</row>
    <row r="591" spans="1:26" ht="16.8" x14ac:dyDescent="0.4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</row>
    <row r="592" spans="1:26" ht="16.8" x14ac:dyDescent="0.4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</row>
    <row r="593" spans="1:26" ht="16.8" x14ac:dyDescent="0.4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</row>
    <row r="594" spans="1:26" ht="16.8" x14ac:dyDescent="0.4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</row>
    <row r="595" spans="1:26" ht="16.8" x14ac:dyDescent="0.4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</row>
    <row r="596" spans="1:26" ht="16.8" x14ac:dyDescent="0.4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</row>
    <row r="597" spans="1:26" ht="16.8" x14ac:dyDescent="0.4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</row>
    <row r="598" spans="1:26" ht="16.8" x14ac:dyDescent="0.4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</row>
    <row r="599" spans="1:26" ht="16.8" x14ac:dyDescent="0.4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</row>
    <row r="600" spans="1:26" ht="16.8" x14ac:dyDescent="0.4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</row>
    <row r="601" spans="1:26" ht="16.8" x14ac:dyDescent="0.4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</row>
    <row r="602" spans="1:26" ht="16.8" x14ac:dyDescent="0.4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</row>
    <row r="603" spans="1:26" ht="16.8" x14ac:dyDescent="0.4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</row>
    <row r="604" spans="1:26" ht="16.8" x14ac:dyDescent="0.4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</row>
    <row r="605" spans="1:26" ht="16.8" x14ac:dyDescent="0.4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</row>
    <row r="606" spans="1:26" ht="16.8" x14ac:dyDescent="0.4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</row>
    <row r="607" spans="1:26" ht="16.8" x14ac:dyDescent="0.4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</row>
    <row r="608" spans="1:26" ht="16.8" x14ac:dyDescent="0.4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</row>
    <row r="609" spans="1:26" ht="16.8" x14ac:dyDescent="0.4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</row>
    <row r="610" spans="1:26" ht="16.8" x14ac:dyDescent="0.4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</row>
    <row r="611" spans="1:26" ht="16.8" x14ac:dyDescent="0.4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</row>
    <row r="612" spans="1:26" ht="16.8" x14ac:dyDescent="0.4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</row>
    <row r="613" spans="1:26" ht="16.8" x14ac:dyDescent="0.4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</row>
    <row r="614" spans="1:26" ht="16.8" x14ac:dyDescent="0.4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</row>
    <row r="615" spans="1:26" ht="16.8" x14ac:dyDescent="0.4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</row>
    <row r="616" spans="1:26" ht="16.8" x14ac:dyDescent="0.4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</row>
    <row r="617" spans="1:26" ht="16.8" x14ac:dyDescent="0.4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</row>
    <row r="618" spans="1:26" ht="16.8" x14ac:dyDescent="0.4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</row>
    <row r="619" spans="1:26" ht="16.8" x14ac:dyDescent="0.4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</row>
    <row r="620" spans="1:26" ht="16.8" x14ac:dyDescent="0.4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</row>
    <row r="621" spans="1:26" ht="16.8" x14ac:dyDescent="0.4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</row>
    <row r="622" spans="1:26" ht="16.8" x14ac:dyDescent="0.4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</row>
    <row r="623" spans="1:26" ht="16.8" x14ac:dyDescent="0.4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</row>
    <row r="624" spans="1:26" ht="16.8" x14ac:dyDescent="0.4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</row>
    <row r="625" spans="1:26" ht="16.8" x14ac:dyDescent="0.4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</row>
    <row r="626" spans="1:26" ht="16.8" x14ac:dyDescent="0.4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</row>
    <row r="627" spans="1:26" ht="16.8" x14ac:dyDescent="0.4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</row>
    <row r="628" spans="1:26" ht="16.8" x14ac:dyDescent="0.4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</row>
    <row r="629" spans="1:26" ht="16.8" x14ac:dyDescent="0.4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</row>
    <row r="630" spans="1:26" ht="16.8" x14ac:dyDescent="0.4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</row>
    <row r="631" spans="1:26" ht="16.8" x14ac:dyDescent="0.4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</row>
    <row r="632" spans="1:26" ht="16.8" x14ac:dyDescent="0.4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</row>
    <row r="633" spans="1:26" ht="16.8" x14ac:dyDescent="0.4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</row>
    <row r="634" spans="1:26" ht="16.8" x14ac:dyDescent="0.4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</row>
    <row r="635" spans="1:26" ht="16.8" x14ac:dyDescent="0.4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</row>
    <row r="636" spans="1:26" ht="16.8" x14ac:dyDescent="0.4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</row>
    <row r="637" spans="1:26" ht="16.8" x14ac:dyDescent="0.4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</row>
    <row r="638" spans="1:26" ht="16.8" x14ac:dyDescent="0.4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</row>
    <row r="639" spans="1:26" ht="16.8" x14ac:dyDescent="0.4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</row>
    <row r="640" spans="1:26" ht="16.8" x14ac:dyDescent="0.4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</row>
    <row r="641" spans="1:26" ht="16.8" x14ac:dyDescent="0.4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</row>
    <row r="642" spans="1:26" ht="16.8" x14ac:dyDescent="0.4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</row>
    <row r="643" spans="1:26" ht="16.8" x14ac:dyDescent="0.4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</row>
    <row r="644" spans="1:26" ht="16.8" x14ac:dyDescent="0.4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</row>
    <row r="645" spans="1:26" ht="16.8" x14ac:dyDescent="0.4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</row>
    <row r="646" spans="1:26" ht="16.8" x14ac:dyDescent="0.4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</row>
    <row r="647" spans="1:26" ht="16.8" x14ac:dyDescent="0.4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</row>
    <row r="648" spans="1:26" ht="16.8" x14ac:dyDescent="0.4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</row>
    <row r="649" spans="1:26" ht="16.8" x14ac:dyDescent="0.4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</row>
    <row r="650" spans="1:26" ht="16.8" x14ac:dyDescent="0.4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</row>
    <row r="651" spans="1:26" ht="16.8" x14ac:dyDescent="0.4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</row>
    <row r="652" spans="1:26" ht="16.8" x14ac:dyDescent="0.4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</row>
    <row r="653" spans="1:26" ht="16.8" x14ac:dyDescent="0.4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</row>
    <row r="654" spans="1:26" ht="16.8" x14ac:dyDescent="0.4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</row>
    <row r="655" spans="1:26" ht="16.8" x14ac:dyDescent="0.4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</row>
    <row r="656" spans="1:26" ht="16.8" x14ac:dyDescent="0.4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</row>
    <row r="657" spans="1:26" ht="16.8" x14ac:dyDescent="0.4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</row>
    <row r="658" spans="1:26" ht="16.8" x14ac:dyDescent="0.4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</row>
    <row r="659" spans="1:26" ht="16.8" x14ac:dyDescent="0.4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</row>
    <row r="660" spans="1:26" ht="16.8" x14ac:dyDescent="0.4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</row>
    <row r="661" spans="1:26" ht="16.8" x14ac:dyDescent="0.4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</row>
    <row r="662" spans="1:26" ht="16.8" x14ac:dyDescent="0.4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</row>
    <row r="663" spans="1:26" ht="16.8" x14ac:dyDescent="0.4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</row>
    <row r="664" spans="1:26" ht="16.8" x14ac:dyDescent="0.4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</row>
    <row r="665" spans="1:26" ht="16.8" x14ac:dyDescent="0.4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</row>
    <row r="666" spans="1:26" ht="16.8" x14ac:dyDescent="0.4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</row>
    <row r="667" spans="1:26" ht="16.8" x14ac:dyDescent="0.4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</row>
    <row r="668" spans="1:26" ht="16.8" x14ac:dyDescent="0.4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</row>
    <row r="669" spans="1:26" ht="16.8" x14ac:dyDescent="0.4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</row>
    <row r="670" spans="1:26" ht="16.8" x14ac:dyDescent="0.4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</row>
    <row r="671" spans="1:26" ht="16.8" x14ac:dyDescent="0.4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</row>
    <row r="672" spans="1:26" ht="16.8" x14ac:dyDescent="0.4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</row>
    <row r="673" spans="1:26" ht="16.8" x14ac:dyDescent="0.4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</row>
    <row r="674" spans="1:26" ht="16.8" x14ac:dyDescent="0.4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</row>
    <row r="675" spans="1:26" ht="16.8" x14ac:dyDescent="0.4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</row>
    <row r="676" spans="1:26" ht="16.8" x14ac:dyDescent="0.4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</row>
    <row r="677" spans="1:26" ht="16.8" x14ac:dyDescent="0.4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</row>
    <row r="678" spans="1:26" ht="16.8" x14ac:dyDescent="0.4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</row>
    <row r="679" spans="1:26" ht="16.8" x14ac:dyDescent="0.4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</row>
    <row r="680" spans="1:26" ht="16.8" x14ac:dyDescent="0.4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</row>
    <row r="681" spans="1:26" ht="16.8" x14ac:dyDescent="0.4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</row>
    <row r="682" spans="1:26" ht="16.8" x14ac:dyDescent="0.4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</row>
    <row r="683" spans="1:26" ht="16.8" x14ac:dyDescent="0.4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</row>
    <row r="684" spans="1:26" ht="16.8" x14ac:dyDescent="0.4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</row>
    <row r="685" spans="1:26" ht="16.8" x14ac:dyDescent="0.4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</row>
    <row r="686" spans="1:26" ht="16.8" x14ac:dyDescent="0.4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</row>
    <row r="687" spans="1:26" ht="16.8" x14ac:dyDescent="0.4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</row>
    <row r="688" spans="1:26" ht="16.8" x14ac:dyDescent="0.4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</row>
    <row r="689" spans="1:26" ht="16.8" x14ac:dyDescent="0.4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</row>
    <row r="690" spans="1:26" ht="16.8" x14ac:dyDescent="0.4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</row>
    <row r="691" spans="1:26" ht="16.8" x14ac:dyDescent="0.4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</row>
    <row r="692" spans="1:26" ht="16.8" x14ac:dyDescent="0.4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</row>
    <row r="693" spans="1:26" ht="16.8" x14ac:dyDescent="0.4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</row>
    <row r="694" spans="1:26" ht="16.8" x14ac:dyDescent="0.4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</row>
    <row r="695" spans="1:26" ht="16.8" x14ac:dyDescent="0.4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</row>
    <row r="696" spans="1:26" ht="16.8" x14ac:dyDescent="0.4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</row>
    <row r="697" spans="1:26" ht="16.8" x14ac:dyDescent="0.4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</row>
    <row r="698" spans="1:26" ht="16.8" x14ac:dyDescent="0.4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</row>
    <row r="699" spans="1:26" ht="16.8" x14ac:dyDescent="0.4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</row>
    <row r="700" spans="1:26" ht="16.8" x14ac:dyDescent="0.4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</row>
    <row r="701" spans="1:26" ht="16.8" x14ac:dyDescent="0.4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</row>
    <row r="702" spans="1:26" ht="16.8" x14ac:dyDescent="0.4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</row>
    <row r="703" spans="1:26" ht="16.8" x14ac:dyDescent="0.4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</row>
    <row r="704" spans="1:26" ht="16.8" x14ac:dyDescent="0.4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</row>
    <row r="705" spans="1:26" ht="16.8" x14ac:dyDescent="0.4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</row>
    <row r="706" spans="1:26" ht="16.8" x14ac:dyDescent="0.4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</row>
    <row r="707" spans="1:26" ht="16.8" x14ac:dyDescent="0.4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</row>
    <row r="708" spans="1:26" ht="16.8" x14ac:dyDescent="0.4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</row>
    <row r="709" spans="1:26" ht="16.8" x14ac:dyDescent="0.4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</row>
    <row r="710" spans="1:26" ht="16.8" x14ac:dyDescent="0.4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</row>
    <row r="711" spans="1:26" ht="16.8" x14ac:dyDescent="0.4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</row>
    <row r="712" spans="1:26" ht="16.8" x14ac:dyDescent="0.4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</row>
    <row r="713" spans="1:26" ht="16.8" x14ac:dyDescent="0.4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</row>
    <row r="714" spans="1:26" ht="16.8" x14ac:dyDescent="0.4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</row>
    <row r="715" spans="1:26" ht="16.8" x14ac:dyDescent="0.4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</row>
    <row r="716" spans="1:26" ht="16.8" x14ac:dyDescent="0.4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</row>
    <row r="717" spans="1:26" ht="16.8" x14ac:dyDescent="0.4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</row>
    <row r="718" spans="1:26" ht="16.8" x14ac:dyDescent="0.4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</row>
    <row r="719" spans="1:26" ht="16.8" x14ac:dyDescent="0.4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</row>
    <row r="720" spans="1:26" ht="16.8" x14ac:dyDescent="0.4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</row>
    <row r="721" spans="1:26" ht="16.8" x14ac:dyDescent="0.4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</row>
    <row r="722" spans="1:26" ht="16.8" x14ac:dyDescent="0.4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</row>
    <row r="723" spans="1:26" ht="16.8" x14ac:dyDescent="0.4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</row>
    <row r="724" spans="1:26" ht="16.8" x14ac:dyDescent="0.4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</row>
    <row r="725" spans="1:26" ht="16.8" x14ac:dyDescent="0.4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</row>
    <row r="726" spans="1:26" ht="16.8" x14ac:dyDescent="0.4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</row>
    <row r="727" spans="1:26" ht="16.8" x14ac:dyDescent="0.4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</row>
    <row r="728" spans="1:26" ht="16.8" x14ac:dyDescent="0.4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</row>
    <row r="729" spans="1:26" ht="16.8" x14ac:dyDescent="0.4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</row>
    <row r="730" spans="1:26" ht="16.8" x14ac:dyDescent="0.4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</row>
    <row r="731" spans="1:26" ht="16.8" x14ac:dyDescent="0.4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</row>
    <row r="732" spans="1:26" ht="16.8" x14ac:dyDescent="0.4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</row>
    <row r="733" spans="1:26" ht="16.8" x14ac:dyDescent="0.4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</row>
    <row r="734" spans="1:26" ht="16.8" x14ac:dyDescent="0.4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</row>
    <row r="735" spans="1:26" ht="16.8" x14ac:dyDescent="0.4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</row>
    <row r="736" spans="1:26" ht="16.8" x14ac:dyDescent="0.4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</row>
    <row r="737" spans="1:26" ht="16.8" x14ac:dyDescent="0.4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</row>
    <row r="738" spans="1:26" ht="16.8" x14ac:dyDescent="0.4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</row>
    <row r="739" spans="1:26" ht="16.8" x14ac:dyDescent="0.4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</row>
    <row r="740" spans="1:26" ht="16.8" x14ac:dyDescent="0.4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</row>
    <row r="741" spans="1:26" ht="16.8" x14ac:dyDescent="0.4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</row>
    <row r="742" spans="1:26" ht="16.8" x14ac:dyDescent="0.4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</row>
    <row r="743" spans="1:26" ht="16.8" x14ac:dyDescent="0.4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</row>
    <row r="744" spans="1:26" ht="16.8" x14ac:dyDescent="0.4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</row>
    <row r="745" spans="1:26" ht="16.8" x14ac:dyDescent="0.4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</row>
    <row r="746" spans="1:26" ht="16.8" x14ac:dyDescent="0.4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</row>
    <row r="747" spans="1:26" ht="16.8" x14ac:dyDescent="0.4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</row>
    <row r="748" spans="1:26" ht="16.8" x14ac:dyDescent="0.4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</row>
    <row r="749" spans="1:26" ht="16.8" x14ac:dyDescent="0.4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</row>
    <row r="750" spans="1:26" ht="16.8" x14ac:dyDescent="0.4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</row>
    <row r="751" spans="1:26" ht="16.8" x14ac:dyDescent="0.4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</row>
    <row r="752" spans="1:26" ht="16.8" x14ac:dyDescent="0.4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</row>
    <row r="753" spans="1:26" ht="16.8" x14ac:dyDescent="0.4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</row>
    <row r="754" spans="1:26" ht="16.8" x14ac:dyDescent="0.4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</row>
    <row r="755" spans="1:26" ht="16.8" x14ac:dyDescent="0.4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</row>
    <row r="756" spans="1:26" ht="16.8" x14ac:dyDescent="0.4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</row>
    <row r="757" spans="1:26" ht="16.8" x14ac:dyDescent="0.4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</row>
    <row r="758" spans="1:26" ht="16.8" x14ac:dyDescent="0.4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</row>
    <row r="759" spans="1:26" ht="16.8" x14ac:dyDescent="0.4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</row>
    <row r="760" spans="1:26" ht="16.8" x14ac:dyDescent="0.4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</row>
    <row r="761" spans="1:26" ht="16.8" x14ac:dyDescent="0.4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</row>
    <row r="762" spans="1:26" ht="16.8" x14ac:dyDescent="0.4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</row>
    <row r="763" spans="1:26" ht="16.8" x14ac:dyDescent="0.4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</row>
    <row r="764" spans="1:26" ht="16.8" x14ac:dyDescent="0.4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</row>
    <row r="765" spans="1:26" ht="16.8" x14ac:dyDescent="0.4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</row>
    <row r="766" spans="1:26" ht="16.8" x14ac:dyDescent="0.4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</row>
    <row r="767" spans="1:26" ht="16.8" x14ac:dyDescent="0.4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</row>
    <row r="768" spans="1:26" ht="16.8" x14ac:dyDescent="0.4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</row>
    <row r="769" spans="1:26" ht="16.8" x14ac:dyDescent="0.4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</row>
    <row r="770" spans="1:26" ht="16.8" x14ac:dyDescent="0.4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</row>
    <row r="771" spans="1:26" ht="16.8" x14ac:dyDescent="0.4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</row>
    <row r="772" spans="1:26" ht="16.8" x14ac:dyDescent="0.4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</row>
    <row r="773" spans="1:26" ht="16.8" x14ac:dyDescent="0.4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</row>
    <row r="774" spans="1:26" ht="16.8" x14ac:dyDescent="0.4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</row>
    <row r="775" spans="1:26" ht="16.8" x14ac:dyDescent="0.4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</row>
    <row r="776" spans="1:26" ht="16.8" x14ac:dyDescent="0.4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</row>
    <row r="777" spans="1:26" ht="16.8" x14ac:dyDescent="0.4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</row>
    <row r="778" spans="1:26" ht="16.8" x14ac:dyDescent="0.4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</row>
    <row r="779" spans="1:26" ht="16.8" x14ac:dyDescent="0.4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</row>
    <row r="780" spans="1:26" ht="16.8" x14ac:dyDescent="0.4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</row>
    <row r="781" spans="1:26" ht="16.8" x14ac:dyDescent="0.4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</row>
    <row r="782" spans="1:26" ht="16.8" x14ac:dyDescent="0.4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</row>
    <row r="783" spans="1:26" ht="16.8" x14ac:dyDescent="0.4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</row>
    <row r="784" spans="1:26" ht="16.8" x14ac:dyDescent="0.4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</row>
    <row r="785" spans="1:26" ht="16.8" x14ac:dyDescent="0.4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</row>
    <row r="786" spans="1:26" ht="16.8" x14ac:dyDescent="0.4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</row>
    <row r="787" spans="1:26" ht="16.8" x14ac:dyDescent="0.4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</row>
    <row r="788" spans="1:26" ht="16.8" x14ac:dyDescent="0.4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</row>
    <row r="789" spans="1:26" ht="16.8" x14ac:dyDescent="0.4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</row>
    <row r="790" spans="1:26" ht="16.8" x14ac:dyDescent="0.4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</row>
    <row r="791" spans="1:26" ht="16.8" x14ac:dyDescent="0.4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</row>
    <row r="792" spans="1:26" ht="16.8" x14ac:dyDescent="0.4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</row>
    <row r="793" spans="1:26" ht="16.8" x14ac:dyDescent="0.4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</row>
    <row r="794" spans="1:26" ht="16.8" x14ac:dyDescent="0.4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</row>
    <row r="795" spans="1:26" ht="16.8" x14ac:dyDescent="0.4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</row>
    <row r="796" spans="1:26" ht="16.8" x14ac:dyDescent="0.4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</row>
    <row r="797" spans="1:26" ht="16.8" x14ac:dyDescent="0.4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</row>
    <row r="798" spans="1:26" ht="16.8" x14ac:dyDescent="0.4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</row>
    <row r="799" spans="1:26" ht="16.8" x14ac:dyDescent="0.4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</row>
    <row r="800" spans="1:26" ht="16.8" x14ac:dyDescent="0.4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</row>
    <row r="801" spans="1:26" ht="16.8" x14ac:dyDescent="0.4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</row>
    <row r="802" spans="1:26" ht="16.8" x14ac:dyDescent="0.4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</row>
    <row r="803" spans="1:26" ht="16.8" x14ac:dyDescent="0.4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</row>
    <row r="804" spans="1:26" ht="16.8" x14ac:dyDescent="0.4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</row>
    <row r="805" spans="1:26" ht="16.8" x14ac:dyDescent="0.4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</row>
    <row r="806" spans="1:26" ht="16.8" x14ac:dyDescent="0.4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</row>
    <row r="807" spans="1:26" ht="16.8" x14ac:dyDescent="0.4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</row>
    <row r="808" spans="1:26" ht="16.8" x14ac:dyDescent="0.4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</row>
    <row r="809" spans="1:26" ht="16.8" x14ac:dyDescent="0.4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</row>
    <row r="810" spans="1:26" ht="16.8" x14ac:dyDescent="0.4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</row>
    <row r="811" spans="1:26" ht="16.8" x14ac:dyDescent="0.4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</row>
    <row r="812" spans="1:26" ht="16.8" x14ac:dyDescent="0.4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</row>
    <row r="813" spans="1:26" ht="16.8" x14ac:dyDescent="0.4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</row>
    <row r="814" spans="1:26" ht="16.8" x14ac:dyDescent="0.4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</row>
    <row r="815" spans="1:26" ht="16.8" x14ac:dyDescent="0.4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</row>
    <row r="816" spans="1:26" ht="16.8" x14ac:dyDescent="0.4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</row>
    <row r="817" spans="1:26" ht="16.8" x14ac:dyDescent="0.4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</row>
    <row r="818" spans="1:26" ht="16.8" x14ac:dyDescent="0.4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</row>
    <row r="819" spans="1:26" ht="16.8" x14ac:dyDescent="0.4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</row>
    <row r="820" spans="1:26" ht="16.8" x14ac:dyDescent="0.4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</row>
    <row r="821" spans="1:26" ht="16.8" x14ac:dyDescent="0.4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</row>
    <row r="822" spans="1:26" ht="16.8" x14ac:dyDescent="0.4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</row>
    <row r="823" spans="1:26" ht="16.8" x14ac:dyDescent="0.4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</row>
    <row r="824" spans="1:26" ht="16.8" x14ac:dyDescent="0.4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</row>
    <row r="825" spans="1:26" ht="16.8" x14ac:dyDescent="0.4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</row>
    <row r="826" spans="1:26" ht="16.8" x14ac:dyDescent="0.4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</row>
    <row r="827" spans="1:26" ht="16.8" x14ac:dyDescent="0.4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</row>
    <row r="828" spans="1:26" ht="16.8" x14ac:dyDescent="0.4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</row>
    <row r="829" spans="1:26" ht="16.8" x14ac:dyDescent="0.4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</row>
    <row r="830" spans="1:26" ht="16.8" x14ac:dyDescent="0.4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</row>
    <row r="831" spans="1:26" ht="16.8" x14ac:dyDescent="0.4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</row>
    <row r="832" spans="1:26" ht="16.8" x14ac:dyDescent="0.4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</row>
    <row r="833" spans="1:26" ht="16.8" x14ac:dyDescent="0.4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</row>
    <row r="834" spans="1:26" ht="16.8" x14ac:dyDescent="0.4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</row>
    <row r="835" spans="1:26" ht="16.8" x14ac:dyDescent="0.4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</row>
    <row r="836" spans="1:26" ht="16.8" x14ac:dyDescent="0.4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</row>
    <row r="837" spans="1:26" ht="16.8" x14ac:dyDescent="0.4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</row>
    <row r="838" spans="1:26" ht="16.8" x14ac:dyDescent="0.4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</row>
    <row r="839" spans="1:26" ht="16.8" x14ac:dyDescent="0.4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</row>
    <row r="840" spans="1:26" ht="16.8" x14ac:dyDescent="0.4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</row>
    <row r="841" spans="1:26" ht="16.8" x14ac:dyDescent="0.4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</row>
    <row r="842" spans="1:26" ht="16.8" x14ac:dyDescent="0.4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</row>
    <row r="843" spans="1:26" ht="16.8" x14ac:dyDescent="0.4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</row>
    <row r="844" spans="1:26" ht="16.8" x14ac:dyDescent="0.4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</row>
    <row r="845" spans="1:26" ht="16.8" x14ac:dyDescent="0.4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</row>
    <row r="846" spans="1:26" ht="16.8" x14ac:dyDescent="0.4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</row>
    <row r="847" spans="1:26" ht="16.8" x14ac:dyDescent="0.4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</row>
    <row r="848" spans="1:26" ht="16.8" x14ac:dyDescent="0.4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</row>
    <row r="849" spans="1:26" ht="16.8" x14ac:dyDescent="0.4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</row>
    <row r="850" spans="1:26" ht="16.8" x14ac:dyDescent="0.4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</row>
    <row r="851" spans="1:26" ht="16.8" x14ac:dyDescent="0.4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</row>
    <row r="852" spans="1:26" ht="16.8" x14ac:dyDescent="0.4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</row>
    <row r="853" spans="1:26" ht="16.8" x14ac:dyDescent="0.4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</row>
    <row r="854" spans="1:26" ht="16.8" x14ac:dyDescent="0.4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</row>
    <row r="855" spans="1:26" ht="16.8" x14ac:dyDescent="0.4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</row>
    <row r="856" spans="1:26" ht="16.8" x14ac:dyDescent="0.4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</row>
    <row r="857" spans="1:26" ht="16.8" x14ac:dyDescent="0.4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</row>
    <row r="858" spans="1:26" ht="16.8" x14ac:dyDescent="0.4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</row>
    <row r="859" spans="1:26" ht="16.8" x14ac:dyDescent="0.4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</row>
    <row r="860" spans="1:26" ht="16.8" x14ac:dyDescent="0.4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</row>
    <row r="861" spans="1:26" ht="16.8" x14ac:dyDescent="0.4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</row>
    <row r="862" spans="1:26" ht="16.8" x14ac:dyDescent="0.4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</row>
    <row r="863" spans="1:26" ht="16.8" x14ac:dyDescent="0.4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</row>
    <row r="864" spans="1:26" ht="16.8" x14ac:dyDescent="0.4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</row>
    <row r="865" spans="1:26" ht="16.8" x14ac:dyDescent="0.4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</row>
    <row r="866" spans="1:26" ht="16.8" x14ac:dyDescent="0.4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</row>
    <row r="867" spans="1:26" ht="16.8" x14ac:dyDescent="0.4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</row>
    <row r="868" spans="1:26" ht="16.8" x14ac:dyDescent="0.4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</row>
    <row r="869" spans="1:26" ht="16.8" x14ac:dyDescent="0.4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</row>
    <row r="870" spans="1:26" ht="16.8" x14ac:dyDescent="0.4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</row>
    <row r="871" spans="1:26" ht="16.8" x14ac:dyDescent="0.4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</row>
    <row r="872" spans="1:26" ht="16.8" x14ac:dyDescent="0.4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</row>
    <row r="873" spans="1:26" ht="16.8" x14ac:dyDescent="0.4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</row>
    <row r="874" spans="1:26" ht="16.8" x14ac:dyDescent="0.4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</row>
    <row r="875" spans="1:26" ht="16.8" x14ac:dyDescent="0.4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</row>
    <row r="876" spans="1:26" ht="16.8" x14ac:dyDescent="0.4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</row>
    <row r="877" spans="1:26" ht="16.8" x14ac:dyDescent="0.4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</row>
    <row r="878" spans="1:26" ht="16.8" x14ac:dyDescent="0.4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</row>
    <row r="879" spans="1:26" ht="16.8" x14ac:dyDescent="0.4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</row>
    <row r="880" spans="1:26" ht="16.8" x14ac:dyDescent="0.4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</row>
    <row r="881" spans="1:26" ht="16.8" x14ac:dyDescent="0.4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</row>
    <row r="882" spans="1:26" ht="16.8" x14ac:dyDescent="0.4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</row>
    <row r="883" spans="1:26" ht="16.8" x14ac:dyDescent="0.4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</row>
    <row r="884" spans="1:26" ht="16.8" x14ac:dyDescent="0.4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</row>
    <row r="885" spans="1:26" ht="16.8" x14ac:dyDescent="0.4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</row>
    <row r="886" spans="1:26" ht="16.8" x14ac:dyDescent="0.4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</row>
    <row r="887" spans="1:26" ht="16.8" x14ac:dyDescent="0.4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</row>
    <row r="888" spans="1:26" ht="16.8" x14ac:dyDescent="0.4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</row>
    <row r="889" spans="1:26" ht="16.8" x14ac:dyDescent="0.4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</row>
    <row r="890" spans="1:26" ht="16.8" x14ac:dyDescent="0.4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</row>
    <row r="891" spans="1:26" ht="16.8" x14ac:dyDescent="0.4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</row>
    <row r="892" spans="1:26" ht="16.8" x14ac:dyDescent="0.4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</row>
    <row r="893" spans="1:26" ht="16.8" x14ac:dyDescent="0.4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</row>
    <row r="894" spans="1:26" ht="16.8" x14ac:dyDescent="0.4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</row>
    <row r="895" spans="1:26" ht="16.8" x14ac:dyDescent="0.4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</row>
    <row r="896" spans="1:26" ht="16.8" x14ac:dyDescent="0.4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</row>
    <row r="897" spans="1:26" ht="16.8" x14ac:dyDescent="0.4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</row>
    <row r="898" spans="1:26" ht="16.8" x14ac:dyDescent="0.4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</row>
    <row r="899" spans="1:26" ht="16.8" x14ac:dyDescent="0.4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</row>
    <row r="900" spans="1:26" ht="16.8" x14ac:dyDescent="0.4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</row>
    <row r="901" spans="1:26" ht="16.8" x14ac:dyDescent="0.4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</row>
    <row r="902" spans="1:26" ht="16.8" x14ac:dyDescent="0.4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</row>
    <row r="903" spans="1:26" ht="16.8" x14ac:dyDescent="0.4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</row>
    <row r="904" spans="1:26" ht="16.8" x14ac:dyDescent="0.4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</row>
    <row r="905" spans="1:26" ht="16.8" x14ac:dyDescent="0.4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</row>
    <row r="906" spans="1:26" ht="16.8" x14ac:dyDescent="0.4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</row>
    <row r="907" spans="1:26" ht="16.8" x14ac:dyDescent="0.4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</row>
    <row r="908" spans="1:26" ht="16.8" x14ac:dyDescent="0.4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</row>
    <row r="909" spans="1:26" ht="16.8" x14ac:dyDescent="0.4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</row>
    <row r="910" spans="1:26" ht="16.8" x14ac:dyDescent="0.4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</row>
    <row r="911" spans="1:26" ht="16.8" x14ac:dyDescent="0.4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</row>
    <row r="912" spans="1:26" ht="16.8" x14ac:dyDescent="0.4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</row>
    <row r="913" spans="1:26" ht="16.8" x14ac:dyDescent="0.4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</row>
    <row r="914" spans="1:26" ht="16.8" x14ac:dyDescent="0.4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</row>
    <row r="915" spans="1:26" ht="16.8" x14ac:dyDescent="0.4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</row>
    <row r="916" spans="1:26" ht="16.8" x14ac:dyDescent="0.4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</row>
    <row r="917" spans="1:26" ht="16.8" x14ac:dyDescent="0.4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</row>
    <row r="918" spans="1:26" ht="16.8" x14ac:dyDescent="0.4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</row>
    <row r="919" spans="1:26" ht="16.8" x14ac:dyDescent="0.4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</row>
    <row r="920" spans="1:26" ht="16.8" x14ac:dyDescent="0.4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</row>
    <row r="921" spans="1:26" ht="16.8" x14ac:dyDescent="0.4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</row>
    <row r="922" spans="1:26" ht="16.8" x14ac:dyDescent="0.4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</row>
    <row r="923" spans="1:26" ht="16.8" x14ac:dyDescent="0.4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</row>
    <row r="924" spans="1:26" ht="16.8" x14ac:dyDescent="0.4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</row>
    <row r="925" spans="1:26" ht="16.8" x14ac:dyDescent="0.4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</row>
    <row r="926" spans="1:26" ht="16.8" x14ac:dyDescent="0.4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</row>
    <row r="927" spans="1:26" ht="16.8" x14ac:dyDescent="0.4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</row>
    <row r="928" spans="1:26" ht="16.8" x14ac:dyDescent="0.4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</row>
    <row r="929" spans="1:26" ht="16.8" x14ac:dyDescent="0.4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</row>
    <row r="930" spans="1:26" ht="16.8" x14ac:dyDescent="0.4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</row>
    <row r="931" spans="1:26" ht="16.8" x14ac:dyDescent="0.4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</row>
    <row r="932" spans="1:26" ht="16.8" x14ac:dyDescent="0.4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</row>
    <row r="933" spans="1:26" ht="16.8" x14ac:dyDescent="0.4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</row>
    <row r="934" spans="1:26" ht="16.8" x14ac:dyDescent="0.4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</row>
    <row r="935" spans="1:26" ht="16.8" x14ac:dyDescent="0.4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</row>
    <row r="936" spans="1:26" ht="16.8" x14ac:dyDescent="0.4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</row>
    <row r="937" spans="1:26" ht="16.8" x14ac:dyDescent="0.4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</row>
    <row r="938" spans="1:26" ht="16.8" x14ac:dyDescent="0.4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</row>
    <row r="939" spans="1:26" ht="16.8" x14ac:dyDescent="0.4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</row>
    <row r="940" spans="1:26" ht="16.8" x14ac:dyDescent="0.4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</row>
    <row r="941" spans="1:26" ht="16.8" x14ac:dyDescent="0.4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</row>
    <row r="942" spans="1:26" ht="16.8" x14ac:dyDescent="0.4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</row>
    <row r="943" spans="1:26" ht="16.8" x14ac:dyDescent="0.4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</row>
    <row r="944" spans="1:26" ht="16.8" x14ac:dyDescent="0.4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</row>
    <row r="945" spans="1:26" ht="16.8" x14ac:dyDescent="0.4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</row>
    <row r="946" spans="1:26" ht="16.8" x14ac:dyDescent="0.4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</row>
    <row r="947" spans="1:26" ht="16.8" x14ac:dyDescent="0.4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</row>
    <row r="948" spans="1:26" ht="16.8" x14ac:dyDescent="0.4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</row>
    <row r="949" spans="1:26" ht="16.8" x14ac:dyDescent="0.4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</row>
    <row r="950" spans="1:26" ht="16.8" x14ac:dyDescent="0.4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</row>
    <row r="951" spans="1:26" ht="16.8" x14ac:dyDescent="0.4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</row>
    <row r="952" spans="1:26" ht="16.8" x14ac:dyDescent="0.4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</row>
    <row r="953" spans="1:26" ht="16.8" x14ac:dyDescent="0.4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</row>
    <row r="954" spans="1:26" ht="16.8" x14ac:dyDescent="0.4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</row>
    <row r="955" spans="1:26" ht="16.8" x14ac:dyDescent="0.4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</row>
    <row r="956" spans="1:26" ht="16.8" x14ac:dyDescent="0.4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</row>
    <row r="957" spans="1:26" ht="16.8" x14ac:dyDescent="0.4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</row>
    <row r="958" spans="1:26" ht="16.8" x14ac:dyDescent="0.4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</row>
    <row r="959" spans="1:26" ht="16.8" x14ac:dyDescent="0.4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</row>
    <row r="960" spans="1:26" ht="16.8" x14ac:dyDescent="0.4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</row>
    <row r="961" spans="1:26" ht="16.8" x14ac:dyDescent="0.4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</row>
    <row r="962" spans="1:26" ht="16.8" x14ac:dyDescent="0.4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</row>
    <row r="963" spans="1:26" ht="16.8" x14ac:dyDescent="0.4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</row>
    <row r="964" spans="1:26" ht="16.8" x14ac:dyDescent="0.4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</row>
    <row r="965" spans="1:26" ht="16.8" x14ac:dyDescent="0.4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</row>
    <row r="966" spans="1:26" ht="16.8" x14ac:dyDescent="0.4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</row>
    <row r="967" spans="1:26" ht="16.8" x14ac:dyDescent="0.4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</row>
    <row r="968" spans="1:26" ht="16.8" x14ac:dyDescent="0.4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</row>
    <row r="969" spans="1:26" ht="16.8" x14ac:dyDescent="0.4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</row>
    <row r="970" spans="1:26" ht="16.8" x14ac:dyDescent="0.4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</row>
    <row r="971" spans="1:26" ht="16.8" x14ac:dyDescent="0.4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</row>
    <row r="972" spans="1:26" ht="16.8" x14ac:dyDescent="0.4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</row>
    <row r="973" spans="1:26" ht="16.8" x14ac:dyDescent="0.4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</row>
    <row r="974" spans="1:26" ht="16.8" x14ac:dyDescent="0.4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</row>
    <row r="975" spans="1:26" ht="16.8" x14ac:dyDescent="0.4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</row>
    <row r="976" spans="1:26" ht="16.8" x14ac:dyDescent="0.4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</row>
    <row r="977" spans="1:26" ht="16.8" x14ac:dyDescent="0.4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</row>
    <row r="978" spans="1:26" ht="16.8" x14ac:dyDescent="0.4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</row>
    <row r="979" spans="1:26" ht="16.8" x14ac:dyDescent="0.4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</row>
    <row r="980" spans="1:26" ht="16.8" x14ac:dyDescent="0.4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</row>
    <row r="981" spans="1:26" ht="16.8" x14ac:dyDescent="0.4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</row>
    <row r="982" spans="1:26" ht="16.8" x14ac:dyDescent="0.4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</row>
    <row r="983" spans="1:26" ht="16.8" x14ac:dyDescent="0.4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</row>
    <row r="984" spans="1:26" ht="16.8" x14ac:dyDescent="0.4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</row>
    <row r="985" spans="1:26" ht="16.8" x14ac:dyDescent="0.4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</row>
    <row r="986" spans="1:26" ht="16.8" x14ac:dyDescent="0.4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</row>
    <row r="987" spans="1:26" ht="16.8" x14ac:dyDescent="0.4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</row>
    <row r="988" spans="1:26" ht="16.8" x14ac:dyDescent="0.4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</row>
    <row r="989" spans="1:26" ht="16.8" x14ac:dyDescent="0.4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</row>
    <row r="990" spans="1:26" ht="16.8" x14ac:dyDescent="0.4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</row>
    <row r="991" spans="1:26" ht="16.8" x14ac:dyDescent="0.4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</row>
    <row r="992" spans="1:26" ht="16.8" x14ac:dyDescent="0.4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</row>
    <row r="993" spans="1:26" ht="16.8" x14ac:dyDescent="0.4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</row>
    <row r="994" spans="1:26" ht="16.8" x14ac:dyDescent="0.4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</row>
    <row r="995" spans="1:26" ht="16.8" x14ac:dyDescent="0.4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</row>
    <row r="996" spans="1:26" ht="16.8" x14ac:dyDescent="0.4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</row>
    <row r="997" spans="1:26" ht="16.8" x14ac:dyDescent="0.4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</row>
    <row r="998" spans="1:26" ht="16.8" x14ac:dyDescent="0.4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</row>
    <row r="999" spans="1:26" ht="16.8" x14ac:dyDescent="0.4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</row>
    <row r="1000" spans="1:26" ht="16.8" x14ac:dyDescent="0.4">
      <c r="A1000" s="1"/>
      <c r="B1000" s="1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</row>
  </sheetData>
  <sheetProtection sheet="1" objects="1" scenarios="1"/>
  <mergeCells count="28">
    <mergeCell ref="B37:F37"/>
    <mergeCell ref="C19:D19"/>
    <mergeCell ref="C20:D20"/>
    <mergeCell ref="C21:D21"/>
    <mergeCell ref="C22:D22"/>
    <mergeCell ref="C23:D23"/>
    <mergeCell ref="C24:D24"/>
    <mergeCell ref="C25:D25"/>
    <mergeCell ref="C29:D29"/>
    <mergeCell ref="C31:D31"/>
    <mergeCell ref="C32:D32"/>
    <mergeCell ref="C33:D33"/>
    <mergeCell ref="C34:D34"/>
    <mergeCell ref="C14:D14"/>
    <mergeCell ref="C15:D15"/>
    <mergeCell ref="C16:D16"/>
    <mergeCell ref="B17:D17"/>
    <mergeCell ref="C28:D28"/>
    <mergeCell ref="C9:D9"/>
    <mergeCell ref="C10:D10"/>
    <mergeCell ref="C11:D11"/>
    <mergeCell ref="C12:D12"/>
    <mergeCell ref="C13:D13"/>
    <mergeCell ref="C4:D4"/>
    <mergeCell ref="C5:D5"/>
    <mergeCell ref="C6:D6"/>
    <mergeCell ref="B7:F7"/>
    <mergeCell ref="C8:D8"/>
  </mergeCells>
  <dataValidations count="2">
    <dataValidation type="decimal" allowBlank="1" showInputMessage="1" showErrorMessage="1" prompt="Erro na inserção de dados. - O percentual do Aviso Prévio Indenizado deverá ser inferior a 1,94%, conforme determinou o Tribunal de Contas da União por meio do Acórdão nº 1.904/2007 - Plenário." sqref="E23:E24" xr:uid="{00000000-0002-0000-0200-000000000000}">
      <formula1>0</formula1>
      <formula2>1.94</formula2>
    </dataValidation>
    <dataValidation type="decimal" allowBlank="1" showInputMessage="1" showErrorMessage="1" prompt="Erro na inserção de dados. - O percentual do Aviso Prévio Indenizado deverá ser inferior a 0,64%, conforme determinou o Tribunal de Contas da União por meio do Acórdão nº 1.904/2007 - Plenário." sqref="E20" xr:uid="{00000000-0002-0000-0200-000001000000}">
      <formula1>0</formula1>
      <formula2>0.46</formula2>
    </dataValidation>
  </dataValidations>
  <pageMargins left="0.18" right="0.17" top="0.1" bottom="0.03" header="0" footer="0"/>
  <pageSetup paperSize="9" orientation="landscape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Z1000"/>
  <sheetViews>
    <sheetView workbookViewId="0">
      <selection activeCell="F22" sqref="F22"/>
    </sheetView>
  </sheetViews>
  <sheetFormatPr defaultColWidth="12.5546875" defaultRowHeight="15" customHeight="1" x14ac:dyDescent="0.35"/>
  <cols>
    <col min="1" max="1" width="2.6640625" style="2" customWidth="1"/>
    <col min="2" max="2" width="8.88671875" style="2" customWidth="1"/>
    <col min="3" max="3" width="52.5546875" style="2" customWidth="1"/>
    <col min="4" max="4" width="15.44140625" style="2" customWidth="1"/>
    <col min="5" max="5" width="13.5546875" style="2" customWidth="1"/>
    <col min="6" max="6" width="20" style="2" customWidth="1"/>
    <col min="7" max="26" width="9.109375" style="2" customWidth="1"/>
    <col min="27" max="16384" width="12.5546875" style="2"/>
  </cols>
  <sheetData>
    <row r="1" spans="1:26" ht="16.5" customHeight="1" x14ac:dyDescent="0.45">
      <c r="A1" s="1"/>
      <c r="B1" s="119" t="str">
        <f>RAMO</f>
        <v>RAMO: CONSELHO NACIONAL DO MINISTÉRIO PÚBLICO</v>
      </c>
      <c r="C1" s="109"/>
      <c r="D1" s="109"/>
      <c r="E1" s="109"/>
      <c r="F1" s="107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ht="16.5" customHeight="1" x14ac:dyDescent="0.45">
      <c r="A2" s="1"/>
      <c r="B2" s="120" t="str">
        <f>UG</f>
        <v>UNIDADE GESTORA (SIGLA): CNMP</v>
      </c>
      <c r="C2" s="109"/>
      <c r="D2" s="107"/>
      <c r="E2" s="3" t="s">
        <v>0</v>
      </c>
      <c r="F2" s="4">
        <f>DATA_DO_ORCAMENTO_ESTIMATIVO</f>
        <v>46037</v>
      </c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ht="24.6" x14ac:dyDescent="0.55000000000000004">
      <c r="A3" s="5"/>
      <c r="B3" s="121" t="s">
        <v>174</v>
      </c>
      <c r="C3" s="122"/>
      <c r="D3" s="122"/>
      <c r="E3" s="122"/>
      <c r="F3" s="123"/>
      <c r="G3" s="5"/>
      <c r="H3" s="5"/>
      <c r="I3" s="5"/>
      <c r="J3" s="5"/>
      <c r="K3" s="5"/>
      <c r="L3" s="5"/>
      <c r="M3" s="5"/>
      <c r="N3" s="5"/>
      <c r="O3" s="5"/>
      <c r="P3" s="5"/>
      <c r="Q3" s="5"/>
      <c r="R3" s="5"/>
      <c r="S3" s="5"/>
      <c r="T3" s="5"/>
      <c r="U3" s="5"/>
      <c r="V3" s="5"/>
      <c r="W3" s="5"/>
      <c r="X3" s="5"/>
      <c r="Y3" s="5"/>
      <c r="Z3" s="5"/>
    </row>
    <row r="4" spans="1:26" ht="15.75" customHeight="1" x14ac:dyDescent="0.4">
      <c r="A4" s="5"/>
      <c r="B4" s="124" t="s">
        <v>3</v>
      </c>
      <c r="C4" s="125"/>
      <c r="D4" s="125"/>
      <c r="E4" s="125"/>
      <c r="F4" s="126"/>
      <c r="G4" s="5"/>
      <c r="H4" s="5"/>
      <c r="I4" s="5"/>
      <c r="J4" s="5"/>
      <c r="K4" s="5"/>
      <c r="L4" s="5"/>
      <c r="M4" s="5"/>
      <c r="N4" s="5"/>
      <c r="O4" s="5"/>
      <c r="P4" s="5"/>
      <c r="Q4" s="5"/>
      <c r="R4" s="5"/>
      <c r="S4" s="5"/>
      <c r="T4" s="5"/>
      <c r="U4" s="5"/>
      <c r="V4" s="5"/>
      <c r="W4" s="5"/>
      <c r="X4" s="5"/>
      <c r="Y4" s="5"/>
      <c r="Z4" s="5"/>
    </row>
    <row r="5" spans="1:26" ht="15.75" customHeight="1" x14ac:dyDescent="0.4">
      <c r="A5" s="5"/>
      <c r="B5" s="127" t="s">
        <v>175</v>
      </c>
      <c r="C5" s="107"/>
      <c r="D5" s="128" t="str">
        <f>NUMERO_PROCESSO</f>
        <v>19.00.6150.0002989/2025-03</v>
      </c>
      <c r="E5" s="109"/>
      <c r="F5" s="107"/>
      <c r="G5" s="5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5"/>
    </row>
    <row r="6" spans="1:26" ht="15.75" customHeight="1" x14ac:dyDescent="0.4">
      <c r="A6" s="5"/>
      <c r="B6" s="129" t="s">
        <v>176</v>
      </c>
      <c r="C6" s="107"/>
      <c r="D6" s="130" t="str">
        <f>MODALIDADE_DE_LICITACAO</f>
        <v>Pregão nº</v>
      </c>
      <c r="E6" s="107"/>
      <c r="F6" s="6" t="str">
        <f>NUMERO_PREGAO</f>
        <v>XX/20XX</v>
      </c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</row>
    <row r="7" spans="1:26" ht="15.75" customHeight="1" x14ac:dyDescent="0.45">
      <c r="A7" s="5"/>
      <c r="B7" s="131" t="s">
        <v>177</v>
      </c>
      <c r="C7" s="132"/>
      <c r="D7" s="132"/>
      <c r="E7" s="132"/>
      <c r="F7" s="132"/>
      <c r="G7" s="5"/>
      <c r="H7" s="5"/>
      <c r="I7" s="5"/>
      <c r="J7" s="5"/>
      <c r="K7" s="5"/>
      <c r="L7" s="5"/>
      <c r="M7" s="5"/>
      <c r="N7" s="5"/>
      <c r="O7" s="5"/>
      <c r="P7" s="5"/>
      <c r="Q7" s="5"/>
      <c r="R7" s="5"/>
      <c r="S7" s="5"/>
      <c r="T7" s="5"/>
      <c r="U7" s="5"/>
      <c r="V7" s="5"/>
      <c r="W7" s="5"/>
      <c r="X7" s="5"/>
      <c r="Y7" s="5"/>
      <c r="Z7" s="5"/>
    </row>
    <row r="8" spans="1:26" ht="18" customHeight="1" x14ac:dyDescent="0.4">
      <c r="A8" s="5"/>
      <c r="B8" s="7" t="s">
        <v>11</v>
      </c>
      <c r="C8" s="127" t="s">
        <v>12</v>
      </c>
      <c r="D8" s="109"/>
      <c r="E8" s="107"/>
      <c r="F8" s="8" t="str">
        <f>DATA_APRESENTACAO_PROPOSTA</f>
        <v>XX/XX/20XX</v>
      </c>
      <c r="G8" s="5"/>
      <c r="H8" s="5"/>
      <c r="I8" s="5"/>
      <c r="J8" s="5"/>
      <c r="K8" s="5"/>
      <c r="L8" s="5"/>
      <c r="M8" s="5"/>
      <c r="N8" s="5"/>
      <c r="O8" s="5"/>
      <c r="P8" s="5"/>
      <c r="Q8" s="5"/>
      <c r="R8" s="5"/>
      <c r="S8" s="5"/>
      <c r="T8" s="5"/>
      <c r="U8" s="5"/>
      <c r="V8" s="5"/>
      <c r="W8" s="5"/>
      <c r="X8" s="5"/>
      <c r="Y8" s="5"/>
      <c r="Z8" s="5"/>
    </row>
    <row r="9" spans="1:26" ht="15.75" customHeight="1" x14ac:dyDescent="0.35">
      <c r="A9" s="5"/>
      <c r="B9" s="9" t="s">
        <v>13</v>
      </c>
      <c r="C9" s="10" t="s">
        <v>14</v>
      </c>
      <c r="D9" s="112" t="str">
        <f>IF(LOCAL_DE_EXECUCAO="","",LOCAL_DE_EXECUCAO)</f>
        <v>CNMP</v>
      </c>
      <c r="E9" s="109"/>
      <c r="F9" s="107"/>
      <c r="G9" s="5"/>
      <c r="H9" s="5"/>
      <c r="I9" s="5"/>
      <c r="J9" s="5"/>
      <c r="K9" s="5"/>
      <c r="L9" s="5"/>
      <c r="M9" s="5"/>
      <c r="N9" s="5"/>
      <c r="O9" s="5"/>
      <c r="P9" s="5"/>
      <c r="Q9" s="5"/>
      <c r="R9" s="5"/>
      <c r="S9" s="5"/>
      <c r="T9" s="5"/>
      <c r="U9" s="5"/>
      <c r="V9" s="5"/>
      <c r="W9" s="5"/>
      <c r="X9" s="5"/>
      <c r="Y9" s="5"/>
      <c r="Z9" s="5"/>
    </row>
    <row r="10" spans="1:26" ht="18.75" customHeight="1" x14ac:dyDescent="0.4">
      <c r="A10" s="5"/>
      <c r="B10" s="7" t="s">
        <v>15</v>
      </c>
      <c r="C10" s="127" t="s">
        <v>18</v>
      </c>
      <c r="D10" s="109"/>
      <c r="E10" s="107"/>
      <c r="F10" s="11" t="str">
        <f>ACORDO_COLETIVO</f>
        <v>26/2026</v>
      </c>
      <c r="G10" s="5"/>
      <c r="H10" s="5"/>
      <c r="I10" s="5"/>
      <c r="J10" s="5"/>
      <c r="K10" s="5"/>
      <c r="L10" s="5"/>
      <c r="M10" s="5"/>
      <c r="N10" s="5"/>
      <c r="O10" s="5"/>
      <c r="P10" s="5"/>
      <c r="Q10" s="5"/>
      <c r="R10" s="5"/>
      <c r="S10" s="5"/>
      <c r="T10" s="5"/>
      <c r="U10" s="5"/>
      <c r="V10" s="5"/>
      <c r="W10" s="5"/>
      <c r="X10" s="5"/>
      <c r="Y10" s="5"/>
      <c r="Z10" s="5"/>
    </row>
    <row r="11" spans="1:26" ht="15.75" customHeight="1" x14ac:dyDescent="0.4">
      <c r="A11" s="5"/>
      <c r="B11" s="9" t="s">
        <v>17</v>
      </c>
      <c r="C11" s="112" t="s">
        <v>20</v>
      </c>
      <c r="D11" s="109"/>
      <c r="E11" s="107"/>
      <c r="F11" s="12">
        <f>NUMERO_MESES_EXEC_CONTRATUAL</f>
        <v>12</v>
      </c>
      <c r="G11" s="5"/>
      <c r="H11" s="5"/>
      <c r="I11" s="5"/>
      <c r="J11" s="5"/>
      <c r="K11" s="5"/>
      <c r="L11" s="5"/>
      <c r="M11" s="5"/>
      <c r="N11" s="5"/>
      <c r="O11" s="5"/>
      <c r="P11" s="5"/>
      <c r="Q11" s="5"/>
      <c r="R11" s="5"/>
      <c r="S11" s="5"/>
      <c r="T11" s="5"/>
      <c r="U11" s="5"/>
      <c r="V11" s="5"/>
      <c r="W11" s="5"/>
      <c r="X11" s="5"/>
      <c r="Y11" s="5"/>
      <c r="Z11" s="5"/>
    </row>
    <row r="12" spans="1:26" ht="16.5" customHeight="1" x14ac:dyDescent="0.4">
      <c r="A12" s="5"/>
      <c r="B12" s="9" t="s">
        <v>19</v>
      </c>
      <c r="C12" s="113" t="s">
        <v>178</v>
      </c>
      <c r="D12" s="109"/>
      <c r="E12" s="107"/>
      <c r="F12" s="13">
        <f>IF('POSTO 12x36 HORAS'!QTDE_POSTOS="","",'POSTO 12x36 HORAS'!QTDE_POSTOS)</f>
        <v>1</v>
      </c>
      <c r="G12" s="5"/>
      <c r="H12" s="5"/>
      <c r="I12" s="5"/>
      <c r="J12" s="5"/>
      <c r="K12" s="5"/>
      <c r="L12" s="5"/>
      <c r="M12" s="5"/>
      <c r="N12" s="5"/>
      <c r="O12" s="5"/>
      <c r="P12" s="5"/>
      <c r="Q12" s="5"/>
      <c r="R12" s="5"/>
      <c r="S12" s="5"/>
      <c r="T12" s="5"/>
      <c r="U12" s="5"/>
      <c r="V12" s="5"/>
      <c r="W12" s="5"/>
      <c r="X12" s="5"/>
      <c r="Y12" s="5"/>
      <c r="Z12" s="5"/>
    </row>
    <row r="13" spans="1:26" ht="15" customHeight="1" x14ac:dyDescent="0.35">
      <c r="A13" s="14"/>
      <c r="B13" s="15" t="s">
        <v>33</v>
      </c>
      <c r="C13" s="16"/>
      <c r="D13" s="16"/>
      <c r="E13" s="16"/>
      <c r="F13" s="16"/>
      <c r="G13" s="14"/>
      <c r="H13" s="14"/>
      <c r="I13" s="14"/>
      <c r="J13" s="14"/>
      <c r="K13" s="14"/>
      <c r="L13" s="14"/>
      <c r="M13" s="14"/>
      <c r="N13" s="14"/>
      <c r="O13" s="14"/>
      <c r="P13" s="14"/>
      <c r="Q13" s="14"/>
      <c r="R13" s="14"/>
      <c r="S13" s="14"/>
      <c r="T13" s="14"/>
      <c r="U13" s="14"/>
      <c r="V13" s="14"/>
      <c r="W13" s="14"/>
      <c r="X13" s="14"/>
      <c r="Y13" s="14"/>
      <c r="Z13" s="14"/>
    </row>
    <row r="14" spans="1:26" ht="16.5" customHeight="1" x14ac:dyDescent="0.4">
      <c r="A14" s="5"/>
      <c r="B14" s="7">
        <v>1</v>
      </c>
      <c r="C14" s="127" t="s">
        <v>179</v>
      </c>
      <c r="D14" s="107"/>
      <c r="E14" s="128" t="str">
        <f>IF(TIPO_DE_SERVICO="","",TIPO_DE_SERVICO)</f>
        <v>MARCENEIRO MODELISTA</v>
      </c>
      <c r="F14" s="107"/>
      <c r="G14" s="5"/>
      <c r="H14" s="5"/>
      <c r="I14" s="5"/>
      <c r="J14" s="5"/>
      <c r="K14" s="5"/>
      <c r="L14" s="5"/>
      <c r="M14" s="5"/>
      <c r="N14" s="5"/>
      <c r="O14" s="5"/>
      <c r="P14" s="5"/>
      <c r="Q14" s="5"/>
      <c r="R14" s="5"/>
      <c r="S14" s="5"/>
      <c r="T14" s="5"/>
      <c r="U14" s="5"/>
      <c r="V14" s="5"/>
      <c r="W14" s="5"/>
      <c r="X14" s="5"/>
      <c r="Y14" s="5"/>
      <c r="Z14" s="5"/>
    </row>
    <row r="15" spans="1:26" ht="16.5" customHeight="1" x14ac:dyDescent="0.4">
      <c r="A15" s="5"/>
      <c r="B15" s="7">
        <v>2</v>
      </c>
      <c r="C15" s="17" t="s">
        <v>29</v>
      </c>
      <c r="D15" s="133" t="str">
        <f>IF(CBO="","",CBO)</f>
        <v>7711-10</v>
      </c>
      <c r="E15" s="109"/>
      <c r="F15" s="107"/>
      <c r="G15" s="5"/>
      <c r="H15" s="5"/>
      <c r="I15" s="5"/>
      <c r="J15" s="5"/>
      <c r="K15" s="5"/>
      <c r="L15" s="5"/>
      <c r="M15" s="5"/>
      <c r="N15" s="5"/>
      <c r="O15" s="5"/>
      <c r="P15" s="5"/>
      <c r="Q15" s="5"/>
      <c r="R15" s="5"/>
      <c r="S15" s="5"/>
      <c r="T15" s="5"/>
      <c r="U15" s="5"/>
      <c r="V15" s="5"/>
      <c r="W15" s="5"/>
      <c r="X15" s="5"/>
      <c r="Y15" s="5"/>
      <c r="Z15" s="5"/>
    </row>
    <row r="16" spans="1:26" ht="15" customHeight="1" x14ac:dyDescent="0.4">
      <c r="A16" s="5"/>
      <c r="B16" s="7">
        <v>3</v>
      </c>
      <c r="C16" s="18" t="s">
        <v>30</v>
      </c>
      <c r="D16" s="128" t="str">
        <f>IF(CATEGORIA_PROFISSIONAL="","",CATEGORIA_PROFISSIONAL)</f>
        <v/>
      </c>
      <c r="E16" s="109"/>
      <c r="F16" s="107"/>
      <c r="G16" s="5"/>
      <c r="H16" s="5"/>
      <c r="I16" s="5"/>
      <c r="J16" s="5"/>
      <c r="K16" s="5"/>
      <c r="L16" s="5"/>
      <c r="M16" s="5"/>
      <c r="N16" s="5"/>
      <c r="O16" s="5"/>
      <c r="P16" s="5"/>
      <c r="Q16" s="5"/>
      <c r="R16" s="5"/>
      <c r="S16" s="5"/>
      <c r="T16" s="5"/>
      <c r="U16" s="5"/>
      <c r="V16" s="5"/>
      <c r="W16" s="5"/>
      <c r="X16" s="5"/>
      <c r="Y16" s="5"/>
      <c r="Z16" s="5"/>
    </row>
    <row r="17" spans="1:26" ht="15" customHeight="1" x14ac:dyDescent="0.4">
      <c r="A17" s="5"/>
      <c r="B17" s="7">
        <v>4</v>
      </c>
      <c r="C17" s="129" t="s">
        <v>31</v>
      </c>
      <c r="D17" s="109"/>
      <c r="E17" s="107"/>
      <c r="F17" s="19">
        <f>DATA_BASE_CATEGORIA</f>
        <v>46023</v>
      </c>
      <c r="G17" s="5"/>
      <c r="H17" s="5"/>
      <c r="I17" s="5"/>
      <c r="J17" s="5"/>
      <c r="K17" s="5"/>
      <c r="L17" s="5"/>
      <c r="M17" s="5"/>
      <c r="N17" s="5"/>
      <c r="O17" s="5"/>
      <c r="P17" s="5"/>
      <c r="Q17" s="5"/>
      <c r="R17" s="5"/>
      <c r="S17" s="5"/>
      <c r="T17" s="5"/>
      <c r="U17" s="5"/>
      <c r="V17" s="5"/>
      <c r="W17" s="5"/>
      <c r="X17" s="5"/>
      <c r="Y17" s="5"/>
      <c r="Z17" s="5"/>
    </row>
    <row r="18" spans="1:26" ht="20.25" customHeight="1" x14ac:dyDescent="0.4">
      <c r="A18" s="20"/>
      <c r="B18" s="134" t="s">
        <v>180</v>
      </c>
      <c r="C18" s="125"/>
      <c r="D18" s="125"/>
      <c r="E18" s="125"/>
      <c r="F18" s="135"/>
      <c r="G18" s="20"/>
      <c r="H18" s="20"/>
      <c r="I18" s="20"/>
      <c r="J18" s="20"/>
      <c r="K18" s="20"/>
      <c r="L18" s="20"/>
      <c r="M18" s="20"/>
      <c r="N18" s="20"/>
      <c r="O18" s="20"/>
      <c r="P18" s="20"/>
      <c r="Q18" s="20"/>
      <c r="R18" s="20"/>
      <c r="S18" s="20"/>
      <c r="T18" s="20"/>
      <c r="U18" s="20"/>
      <c r="V18" s="20"/>
      <c r="W18" s="20"/>
      <c r="X18" s="20"/>
      <c r="Y18" s="20"/>
      <c r="Z18" s="20"/>
    </row>
    <row r="19" spans="1:26" ht="16.5" customHeight="1" x14ac:dyDescent="0.4">
      <c r="A19" s="1"/>
      <c r="B19" s="108" t="s">
        <v>181</v>
      </c>
      <c r="C19" s="109"/>
      <c r="D19" s="109"/>
      <c r="E19" s="107"/>
      <c r="F19" s="21">
        <f>IF(EMPREG_POR_POSTO="","",EMPREG_POR_POSTO)</f>
        <v>1</v>
      </c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</row>
    <row r="20" spans="1:26" ht="16.5" customHeight="1" x14ac:dyDescent="0.4">
      <c r="A20" s="1"/>
      <c r="B20" s="22" t="s">
        <v>34</v>
      </c>
      <c r="C20" s="1"/>
      <c r="D20" s="1"/>
      <c r="E20" s="23"/>
      <c r="F20" s="23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</row>
    <row r="21" spans="1:26" ht="16.5" customHeight="1" x14ac:dyDescent="0.4">
      <c r="A21" s="1"/>
      <c r="B21" s="9">
        <v>1</v>
      </c>
      <c r="C21" s="110" t="s">
        <v>35</v>
      </c>
      <c r="D21" s="109"/>
      <c r="E21" s="107"/>
      <c r="F21" s="24" t="s">
        <v>80</v>
      </c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</row>
    <row r="22" spans="1:26" ht="16.5" customHeight="1" x14ac:dyDescent="0.4">
      <c r="A22" s="1"/>
      <c r="B22" s="9" t="s">
        <v>11</v>
      </c>
      <c r="C22" s="114" t="s">
        <v>182</v>
      </c>
      <c r="D22" s="109"/>
      <c r="E22" s="107"/>
      <c r="F22" s="25">
        <f>SALARIO_BASE</f>
        <v>2749.17</v>
      </c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</row>
    <row r="23" spans="1:26" ht="16.5" customHeight="1" x14ac:dyDescent="0.4">
      <c r="A23" s="1"/>
      <c r="B23" s="9" t="s">
        <v>13</v>
      </c>
      <c r="C23" s="106" t="s">
        <v>183</v>
      </c>
      <c r="D23" s="109"/>
      <c r="E23" s="107"/>
      <c r="F23" s="26">
        <f>PERC_ADIC_PERIC%*SALARIO_BASE</f>
        <v>0</v>
      </c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</row>
    <row r="24" spans="1:26" ht="15.75" customHeight="1" x14ac:dyDescent="0.4">
      <c r="A24" s="1"/>
      <c r="B24" s="9" t="s">
        <v>15</v>
      </c>
      <c r="C24" s="159" t="s">
        <v>184</v>
      </c>
      <c r="D24" s="109"/>
      <c r="E24" s="107"/>
      <c r="F24" s="25">
        <f>(('POSTO 12x36 HORAS'!AL_1_A_SAL_BASE_12x36+'POSTO 12x36 HORAS'!AL_1_B_ADIC_PERIC_12x36)/DIVISOR_DE_HORAS)*DIAS_NA_SEMANA*MEDIA_ANUAL_DIAS_TRABALHO_MES*PERC_ADIC_NOT%</f>
        <v>0</v>
      </c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</row>
    <row r="25" spans="1:26" ht="15.75" customHeight="1" x14ac:dyDescent="0.4">
      <c r="A25" s="1"/>
      <c r="B25" s="9" t="s">
        <v>17</v>
      </c>
      <c r="C25" s="106" t="s">
        <v>185</v>
      </c>
      <c r="D25" s="109"/>
      <c r="E25" s="107"/>
      <c r="F25" s="26">
        <f>(('POSTO 12x36 HORAS'!AL_1_A_SAL_BASE_12x36+'POSTO 12x36 HORAS'!AL_1_B_ADIC_PERIC_12x36)/DIVISOR_DE_HORAS)*((HORA_NORMAL-HORA_NOTURNA)/HORA_NOTURNA)*DIAS_NA_SEMANA*MEDIA_ANUAL_DIAS_TRABALHO_MES*PERC_ADIC_NOT%</f>
        <v>0</v>
      </c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</row>
    <row r="26" spans="1:26" ht="15.75" customHeight="1" x14ac:dyDescent="0.4">
      <c r="A26" s="1"/>
      <c r="B26" s="9" t="s">
        <v>19</v>
      </c>
      <c r="C26" s="111" t="s">
        <v>186</v>
      </c>
      <c r="D26" s="109"/>
      <c r="E26" s="107"/>
      <c r="F26" s="25">
        <f>IF(BC_ADIC_INSALUB="CCT",PERC_ADIC_INS%*SALARIO_BASE,IF(BC_ADIC_INSALUB="Salário Mínimo",PERC_ADIC_INS%*SAL_MINIMO,0))</f>
        <v>0</v>
      </c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</row>
    <row r="27" spans="1:26" ht="16.5" customHeight="1" x14ac:dyDescent="0.4">
      <c r="A27" s="1"/>
      <c r="B27" s="9" t="s">
        <v>42</v>
      </c>
      <c r="C27" s="115" t="str">
        <f>OUTROS_REMUNERACAO_1_DESCRICAO</f>
        <v>Outras Remunerações 1 (Especificar)</v>
      </c>
      <c r="D27" s="109"/>
      <c r="E27" s="107"/>
      <c r="F27" s="26">
        <f>OUTROS_REMUNERACAO_1</f>
        <v>0</v>
      </c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</row>
    <row r="28" spans="1:26" ht="16.5" customHeight="1" x14ac:dyDescent="0.4">
      <c r="A28" s="1"/>
      <c r="B28" s="9" t="s">
        <v>44</v>
      </c>
      <c r="C28" s="114" t="str">
        <f>OUTROS_REMUNERACAO_2_DESCRICAO</f>
        <v>Outras Remunerações 2 (Especificar)</v>
      </c>
      <c r="D28" s="109"/>
      <c r="E28" s="107"/>
      <c r="F28" s="25">
        <f>OUTROS_REMUNERACAO_2</f>
        <v>0</v>
      </c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</row>
    <row r="29" spans="1:26" ht="16.5" customHeight="1" x14ac:dyDescent="0.4">
      <c r="A29" s="1"/>
      <c r="B29" s="9" t="s">
        <v>129</v>
      </c>
      <c r="C29" s="115" t="str">
        <f>OUTROS_REMUNERACAO_3_DESCRICAO</f>
        <v>Outras Remunerações 3 (Especificar)</v>
      </c>
      <c r="D29" s="109"/>
      <c r="E29" s="107"/>
      <c r="F29" s="26">
        <f>OUTROS_REMUNERACAO_3</f>
        <v>0</v>
      </c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</row>
    <row r="30" spans="1:26" ht="16.5" customHeight="1" x14ac:dyDescent="0.4">
      <c r="A30" s="1"/>
      <c r="B30" s="110" t="s">
        <v>150</v>
      </c>
      <c r="C30" s="109"/>
      <c r="D30" s="109"/>
      <c r="E30" s="107"/>
      <c r="F30" s="27">
        <f>SUM(F22:F29)</f>
        <v>2749.17</v>
      </c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</row>
    <row r="31" spans="1:26" ht="16.5" customHeight="1" x14ac:dyDescent="0.4">
      <c r="A31" s="1"/>
      <c r="B31" s="22" t="s">
        <v>46</v>
      </c>
      <c r="C31" s="1"/>
      <c r="D31" s="1"/>
      <c r="E31" s="28"/>
      <c r="F31" s="28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</row>
    <row r="32" spans="1:26" ht="16.5" customHeight="1" x14ac:dyDescent="0.4">
      <c r="A32" s="1"/>
      <c r="B32" s="22" t="s">
        <v>132</v>
      </c>
      <c r="C32" s="29"/>
      <c r="D32" s="30"/>
      <c r="E32" s="31"/>
      <c r="F32" s="3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</row>
    <row r="33" spans="1:26" ht="16.5" customHeight="1" x14ac:dyDescent="0.4">
      <c r="A33" s="1"/>
      <c r="B33" s="9" t="s">
        <v>133</v>
      </c>
      <c r="C33" s="108" t="s">
        <v>134</v>
      </c>
      <c r="D33" s="107"/>
      <c r="E33" s="24" t="s">
        <v>73</v>
      </c>
      <c r="F33" s="24" t="s">
        <v>80</v>
      </c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</row>
    <row r="34" spans="1:26" ht="16.5" customHeight="1" x14ac:dyDescent="0.4">
      <c r="A34" s="1"/>
      <c r="B34" s="9" t="s">
        <v>11</v>
      </c>
      <c r="C34" s="111" t="s">
        <v>136</v>
      </c>
      <c r="D34" s="107"/>
      <c r="E34" s="32">
        <f>PERC_DEC_TERC</f>
        <v>8.3333333333333321</v>
      </c>
      <c r="F34" s="33">
        <f>PERC_DEC_TERC%*MOD_1_REMUNERACAO_12X36</f>
        <v>229.09749999999997</v>
      </c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</row>
    <row r="35" spans="1:26" ht="16.5" customHeight="1" x14ac:dyDescent="0.4">
      <c r="A35" s="1"/>
      <c r="B35" s="24" t="s">
        <v>13</v>
      </c>
      <c r="C35" s="106" t="s">
        <v>138</v>
      </c>
      <c r="D35" s="107"/>
      <c r="E35" s="34">
        <f>PERC_ADIC_FERIAS</f>
        <v>2.7777777777777777</v>
      </c>
      <c r="F35" s="35">
        <f>PERC_ADIC_FERIAS%*MOD_1_REMUNERACAO_12X36</f>
        <v>76.365833333333327</v>
      </c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</row>
    <row r="36" spans="1:26" ht="16.5" customHeight="1" x14ac:dyDescent="0.4">
      <c r="A36" s="36"/>
      <c r="B36" s="108" t="s">
        <v>150</v>
      </c>
      <c r="C36" s="109"/>
      <c r="D36" s="109"/>
      <c r="E36" s="107"/>
      <c r="F36" s="37">
        <f>SUM(F34:F35)</f>
        <v>305.46333333333331</v>
      </c>
      <c r="G36" s="36"/>
      <c r="H36" s="36"/>
      <c r="I36" s="36"/>
      <c r="J36" s="36"/>
      <c r="K36" s="36"/>
      <c r="L36" s="36"/>
      <c r="M36" s="36"/>
      <c r="N36" s="36"/>
      <c r="O36" s="36"/>
      <c r="P36" s="36"/>
      <c r="Q36" s="36"/>
      <c r="R36" s="36"/>
      <c r="S36" s="36"/>
      <c r="T36" s="36"/>
      <c r="U36" s="36"/>
      <c r="V36" s="36"/>
      <c r="W36" s="36"/>
      <c r="X36" s="36"/>
      <c r="Y36" s="36"/>
      <c r="Z36" s="36"/>
    </row>
    <row r="37" spans="1:26" ht="31.5" customHeight="1" x14ac:dyDescent="0.4">
      <c r="A37" s="36"/>
      <c r="B37" s="136" t="s">
        <v>140</v>
      </c>
      <c r="C37" s="122"/>
      <c r="D37" s="122"/>
      <c r="E37" s="122"/>
      <c r="F37" s="123"/>
      <c r="G37" s="36"/>
      <c r="H37" s="36"/>
      <c r="I37" s="36"/>
      <c r="J37" s="36"/>
      <c r="K37" s="36"/>
      <c r="L37" s="36"/>
      <c r="M37" s="36"/>
      <c r="N37" s="36"/>
      <c r="O37" s="36"/>
      <c r="P37" s="36"/>
      <c r="Q37" s="36"/>
      <c r="R37" s="36"/>
      <c r="S37" s="36"/>
      <c r="T37" s="36"/>
      <c r="U37" s="36"/>
      <c r="V37" s="36"/>
      <c r="W37" s="36"/>
      <c r="X37" s="36"/>
      <c r="Y37" s="36"/>
      <c r="Z37" s="36"/>
    </row>
    <row r="38" spans="1:26" ht="34.5" customHeight="1" x14ac:dyDescent="0.4">
      <c r="A38" s="36"/>
      <c r="B38" s="9" t="s">
        <v>48</v>
      </c>
      <c r="C38" s="110" t="s">
        <v>141</v>
      </c>
      <c r="D38" s="107"/>
      <c r="E38" s="24" t="s">
        <v>73</v>
      </c>
      <c r="F38" s="24" t="s">
        <v>80</v>
      </c>
      <c r="G38" s="36"/>
      <c r="H38" s="36"/>
      <c r="I38" s="36"/>
      <c r="J38" s="36"/>
      <c r="K38" s="36"/>
      <c r="L38" s="36"/>
      <c r="M38" s="36"/>
      <c r="N38" s="36"/>
      <c r="O38" s="36"/>
      <c r="P38" s="36"/>
      <c r="Q38" s="36"/>
      <c r="R38" s="36"/>
      <c r="S38" s="36"/>
      <c r="T38" s="36"/>
      <c r="U38" s="36"/>
      <c r="V38" s="36"/>
      <c r="W38" s="36"/>
      <c r="X38" s="36"/>
      <c r="Y38" s="36"/>
      <c r="Z38" s="36"/>
    </row>
    <row r="39" spans="1:26" ht="16.5" customHeight="1" x14ac:dyDescent="0.4">
      <c r="A39" s="1"/>
      <c r="B39" s="9" t="s">
        <v>11</v>
      </c>
      <c r="C39" s="111" t="s">
        <v>142</v>
      </c>
      <c r="D39" s="107"/>
      <c r="E39" s="32">
        <f>PERC_INSS</f>
        <v>20</v>
      </c>
      <c r="F39" s="33">
        <f>PERC_INSS%*(MOD_1_REMUNERACAO_12X36+'POSTO 12x36 HORAS'!SUBMOD_2_1_DEC_TERC_ADIC_FERIAS_12x36+SUBMOD_2_4_INTERVALO_INTRAJORNADA_12X36)</f>
        <v>610.92666666666662</v>
      </c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</row>
    <row r="40" spans="1:26" ht="16.5" customHeight="1" x14ac:dyDescent="0.35">
      <c r="A40" s="5"/>
      <c r="B40" s="24" t="s">
        <v>13</v>
      </c>
      <c r="C40" s="106" t="s">
        <v>143</v>
      </c>
      <c r="D40" s="107"/>
      <c r="E40" s="38">
        <f>PERC_SAL_EDUCACAO</f>
        <v>2.5</v>
      </c>
      <c r="F40" s="35">
        <f>PERC_SAL_EDUCACAO%*(MOD_1_REMUNERACAO_12X36+'POSTO 12x36 HORAS'!SUBMOD_2_1_DEC_TERC_ADIC_FERIAS_12x36)</f>
        <v>76.365833333333327</v>
      </c>
      <c r="G40" s="5"/>
      <c r="H40" s="5"/>
      <c r="I40" s="5"/>
      <c r="J40" s="5"/>
      <c r="K40" s="5"/>
      <c r="L40" s="5"/>
      <c r="M40" s="5"/>
      <c r="N40" s="5"/>
      <c r="O40" s="5"/>
      <c r="P40" s="5"/>
      <c r="Q40" s="5"/>
      <c r="R40" s="5"/>
      <c r="S40" s="5"/>
      <c r="T40" s="5"/>
      <c r="U40" s="5"/>
      <c r="V40" s="5"/>
      <c r="W40" s="5"/>
      <c r="X40" s="5"/>
      <c r="Y40" s="5"/>
      <c r="Z40" s="5"/>
    </row>
    <row r="41" spans="1:26" ht="16.5" customHeight="1" x14ac:dyDescent="0.35">
      <c r="A41" s="5"/>
      <c r="B41" s="24" t="s">
        <v>15</v>
      </c>
      <c r="C41" s="111" t="s">
        <v>144</v>
      </c>
      <c r="D41" s="107"/>
      <c r="E41" s="32">
        <f>PERC_RAT</f>
        <v>6</v>
      </c>
      <c r="F41" s="33">
        <f>PERC_RAT%*(MOD_1_REMUNERACAO_12X36+'POSTO 12x36 HORAS'!SUBMOD_2_1_DEC_TERC_ADIC_FERIAS_12x36)</f>
        <v>183.27799999999999</v>
      </c>
      <c r="G41" s="5"/>
      <c r="H41" s="5"/>
      <c r="I41" s="5"/>
      <c r="J41" s="5"/>
      <c r="K41" s="5"/>
      <c r="L41" s="5"/>
      <c r="M41" s="5"/>
      <c r="N41" s="5"/>
      <c r="O41" s="5"/>
      <c r="P41" s="5"/>
      <c r="Q41" s="5"/>
      <c r="R41" s="5"/>
      <c r="S41" s="5"/>
      <c r="T41" s="5"/>
      <c r="U41" s="5"/>
      <c r="V41" s="5"/>
      <c r="W41" s="5"/>
      <c r="X41" s="5"/>
      <c r="Y41" s="5"/>
      <c r="Z41" s="5"/>
    </row>
    <row r="42" spans="1:26" ht="16.5" customHeight="1" x14ac:dyDescent="0.35">
      <c r="A42" s="5"/>
      <c r="B42" s="24" t="s">
        <v>17</v>
      </c>
      <c r="C42" s="106" t="s">
        <v>145</v>
      </c>
      <c r="D42" s="107"/>
      <c r="E42" s="34">
        <f>PERC_SESC</f>
        <v>1.5</v>
      </c>
      <c r="F42" s="35">
        <f>PERC_SESC%*(MOD_1_REMUNERACAO_12X36+'POSTO 12x36 HORAS'!SUBMOD_2_1_DEC_TERC_ADIC_FERIAS_12x36)</f>
        <v>45.819499999999998</v>
      </c>
      <c r="G42" s="5"/>
      <c r="H42" s="5"/>
      <c r="I42" s="5"/>
      <c r="J42" s="5"/>
      <c r="K42" s="5"/>
      <c r="L42" s="5"/>
      <c r="M42" s="5"/>
      <c r="N42" s="5"/>
      <c r="O42" s="5"/>
      <c r="P42" s="5"/>
      <c r="Q42" s="5"/>
      <c r="R42" s="5"/>
      <c r="S42" s="5"/>
      <c r="T42" s="5"/>
      <c r="U42" s="5"/>
      <c r="V42" s="5"/>
      <c r="W42" s="5"/>
      <c r="X42" s="5"/>
      <c r="Y42" s="5"/>
      <c r="Z42" s="5"/>
    </row>
    <row r="43" spans="1:26" ht="16.5" customHeight="1" x14ac:dyDescent="0.35">
      <c r="A43" s="5"/>
      <c r="B43" s="24" t="s">
        <v>19</v>
      </c>
      <c r="C43" s="111" t="s">
        <v>146</v>
      </c>
      <c r="D43" s="107"/>
      <c r="E43" s="32">
        <f>PERC_SENAC</f>
        <v>1</v>
      </c>
      <c r="F43" s="33">
        <f>PERC_SENAC%*(MOD_1_REMUNERACAO_12X36+'POSTO 12x36 HORAS'!SUBMOD_2_1_DEC_TERC_ADIC_FERIAS_12x36)</f>
        <v>30.546333333333333</v>
      </c>
      <c r="G43" s="5"/>
      <c r="H43" s="5"/>
      <c r="I43" s="5"/>
      <c r="J43" s="5"/>
      <c r="K43" s="5"/>
      <c r="L43" s="5"/>
      <c r="M43" s="5"/>
      <c r="N43" s="5"/>
      <c r="O43" s="5"/>
      <c r="P43" s="5"/>
      <c r="Q43" s="5"/>
      <c r="R43" s="5"/>
      <c r="S43" s="5"/>
      <c r="T43" s="5"/>
      <c r="U43" s="5"/>
      <c r="V43" s="5"/>
      <c r="W43" s="5"/>
      <c r="X43" s="5"/>
      <c r="Y43" s="5"/>
      <c r="Z43" s="5"/>
    </row>
    <row r="44" spans="1:26" ht="16.5" customHeight="1" x14ac:dyDescent="0.35">
      <c r="A44" s="5"/>
      <c r="B44" s="24" t="s">
        <v>42</v>
      </c>
      <c r="C44" s="106" t="s">
        <v>147</v>
      </c>
      <c r="D44" s="107"/>
      <c r="E44" s="38">
        <f>PERC_SEBRAE</f>
        <v>0.6</v>
      </c>
      <c r="F44" s="35">
        <f>PERC_SEBRAE%*(MOD_1_REMUNERACAO_12X36+'POSTO 12x36 HORAS'!SUBMOD_2_1_DEC_TERC_ADIC_FERIAS_12x36)</f>
        <v>18.3278</v>
      </c>
      <c r="G44" s="5"/>
      <c r="H44" s="5"/>
      <c r="I44" s="5"/>
      <c r="J44" s="5"/>
      <c r="K44" s="5"/>
      <c r="L44" s="5"/>
      <c r="M44" s="5"/>
      <c r="N44" s="5"/>
      <c r="O44" s="5"/>
      <c r="P44" s="5"/>
      <c r="Q44" s="5"/>
      <c r="R44" s="5"/>
      <c r="S44" s="5"/>
      <c r="T44" s="5"/>
      <c r="U44" s="5"/>
      <c r="V44" s="5"/>
      <c r="W44" s="5"/>
      <c r="X44" s="5"/>
      <c r="Y44" s="5"/>
      <c r="Z44" s="5"/>
    </row>
    <row r="45" spans="1:26" ht="16.5" customHeight="1" x14ac:dyDescent="0.35">
      <c r="A45" s="5"/>
      <c r="B45" s="24" t="s">
        <v>44</v>
      </c>
      <c r="C45" s="111" t="s">
        <v>148</v>
      </c>
      <c r="D45" s="107"/>
      <c r="E45" s="32">
        <f>PERC_INCRA</f>
        <v>0.2</v>
      </c>
      <c r="F45" s="33">
        <f>PERC_INCRA%*(MOD_1_REMUNERACAO_12X36+'POSTO 12x36 HORAS'!SUBMOD_2_1_DEC_TERC_ADIC_FERIAS_12x36)</f>
        <v>6.1092666666666666</v>
      </c>
      <c r="G45" s="5"/>
      <c r="H45" s="5"/>
      <c r="I45" s="5"/>
      <c r="J45" s="5"/>
      <c r="K45" s="5"/>
      <c r="L45" s="5"/>
      <c r="M45" s="5"/>
      <c r="N45" s="5"/>
      <c r="O45" s="5"/>
      <c r="P45" s="5"/>
      <c r="Q45" s="5"/>
      <c r="R45" s="5"/>
      <c r="S45" s="5"/>
      <c r="T45" s="5"/>
      <c r="U45" s="5"/>
      <c r="V45" s="5"/>
      <c r="W45" s="5"/>
      <c r="X45" s="5"/>
      <c r="Y45" s="5"/>
      <c r="Z45" s="5"/>
    </row>
    <row r="46" spans="1:26" ht="16.5" customHeight="1" x14ac:dyDescent="0.4">
      <c r="A46" s="1"/>
      <c r="B46" s="24" t="s">
        <v>129</v>
      </c>
      <c r="C46" s="106" t="s">
        <v>149</v>
      </c>
      <c r="D46" s="107"/>
      <c r="E46" s="38">
        <f>PERC_FGTS</f>
        <v>8</v>
      </c>
      <c r="F46" s="35">
        <f>PERC_FGTS%*(MOD_1_REMUNERACAO_12X36+'POSTO 12x36 HORAS'!SUBMOD_2_1_DEC_TERC_ADIC_FERIAS_12x36)</f>
        <v>244.37066666666666</v>
      </c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</row>
    <row r="47" spans="1:26" ht="16.5" customHeight="1" x14ac:dyDescent="0.4">
      <c r="A47" s="1"/>
      <c r="B47" s="108" t="s">
        <v>150</v>
      </c>
      <c r="C47" s="109"/>
      <c r="D47" s="109"/>
      <c r="E47" s="107"/>
      <c r="F47" s="39">
        <f>SUM(F39:F46)</f>
        <v>1215.7440666666666</v>
      </c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</row>
    <row r="48" spans="1:26" ht="15.75" customHeight="1" x14ac:dyDescent="0.4">
      <c r="A48" s="1"/>
      <c r="B48" s="22" t="s">
        <v>52</v>
      </c>
      <c r="C48" s="5"/>
      <c r="D48" s="5"/>
      <c r="E48" s="5"/>
      <c r="F48" s="5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</row>
    <row r="49" spans="1:26" ht="15.75" customHeight="1" x14ac:dyDescent="0.4">
      <c r="A49" s="1"/>
      <c r="B49" s="9" t="s">
        <v>53</v>
      </c>
      <c r="C49" s="110" t="s">
        <v>54</v>
      </c>
      <c r="D49" s="109"/>
      <c r="E49" s="107"/>
      <c r="F49" s="24" t="s">
        <v>80</v>
      </c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</row>
    <row r="50" spans="1:26" ht="16.5" customHeight="1" x14ac:dyDescent="0.4">
      <c r="A50" s="1"/>
      <c r="B50" s="7" t="s">
        <v>11</v>
      </c>
      <c r="C50" s="111" t="s">
        <v>56</v>
      </c>
      <c r="D50" s="109"/>
      <c r="E50" s="107"/>
      <c r="F50" s="33">
        <f>IF(((TRANSPORTE_POR_DIA*DIAS_TRABALHADOS_NO_MES_12X36)-(PERC_DESC_TRANSP_REMUNERACAO%*('POSTO 12x36 HORAS'!AL_1_A_SAL_BASE_12x36/2)))&gt;0,((TRANSPORTE_POR_DIA*DIAS_TRABALHADOS_NO_MES_12X36)-(PERC_DESC_TRANSP_REMUNERACAO%*('POSTO 12x36 HORAS'!AL_1_A_SAL_BASE_12x36/2))),0)</f>
        <v>82.524900000000002</v>
      </c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</row>
    <row r="51" spans="1:26" ht="16.5" customHeight="1" x14ac:dyDescent="0.4">
      <c r="A51" s="36"/>
      <c r="B51" s="7" t="s">
        <v>13</v>
      </c>
      <c r="C51" s="106" t="s">
        <v>58</v>
      </c>
      <c r="D51" s="109"/>
      <c r="E51" s="107"/>
      <c r="F51" s="35">
        <f>IF(AND(ADESAO_AO_PAT="Sim",PERC_PAT&lt;&gt;""),ALIMENTACAO_POR_DIA*DIAS_TRABALHADOS_NO_MES_12X36*(100-PERC_PAT)%,IF(AND(ADESAO_AO_PAT="Sim",PERC_PAT=""),"Insira o % do PAT",ALIMENTACAO_POR_DIA*DIAS_TRABALHADOS_NO_MES_12X36))</f>
        <v>695.7</v>
      </c>
      <c r="G51" s="36"/>
      <c r="H51" s="36"/>
      <c r="I51" s="36"/>
      <c r="J51" s="36"/>
      <c r="K51" s="36"/>
      <c r="L51" s="36"/>
      <c r="M51" s="36"/>
      <c r="N51" s="36"/>
      <c r="O51" s="36"/>
      <c r="P51" s="36"/>
      <c r="Q51" s="36"/>
      <c r="R51" s="36"/>
      <c r="S51" s="36"/>
      <c r="T51" s="36"/>
      <c r="U51" s="36"/>
      <c r="V51" s="36"/>
      <c r="W51" s="36"/>
      <c r="X51" s="36"/>
      <c r="Y51" s="36"/>
      <c r="Z51" s="36"/>
    </row>
    <row r="52" spans="1:26" ht="16.5" customHeight="1" x14ac:dyDescent="0.4">
      <c r="A52" s="36"/>
      <c r="B52" s="7" t="s">
        <v>15</v>
      </c>
      <c r="C52" s="114" t="str">
        <f>OUTROS_BENEFICIOS_1_DESCRICAO</f>
        <v>Outros Benefícios 1 (Especificar)</v>
      </c>
      <c r="D52" s="109"/>
      <c r="E52" s="107"/>
      <c r="F52" s="33">
        <f>OUTROS_BENEFICIOS_1</f>
        <v>0</v>
      </c>
      <c r="G52" s="36"/>
      <c r="H52" s="36"/>
      <c r="I52" s="36"/>
      <c r="J52" s="36"/>
      <c r="K52" s="36"/>
      <c r="L52" s="36"/>
      <c r="M52" s="36"/>
      <c r="N52" s="36"/>
      <c r="O52" s="36"/>
      <c r="P52" s="36"/>
      <c r="Q52" s="36"/>
      <c r="R52" s="36"/>
      <c r="S52" s="36"/>
      <c r="T52" s="36"/>
      <c r="U52" s="36"/>
      <c r="V52" s="36"/>
      <c r="W52" s="36"/>
      <c r="X52" s="36"/>
      <c r="Y52" s="36"/>
      <c r="Z52" s="36"/>
    </row>
    <row r="53" spans="1:26" ht="16.5" customHeight="1" x14ac:dyDescent="0.4">
      <c r="A53" s="36"/>
      <c r="B53" s="7" t="s">
        <v>17</v>
      </c>
      <c r="C53" s="115" t="str">
        <f>OUTROS_BENEFICIOS_2_DESCRICAO</f>
        <v>Outros Benefícios 2 (Especificar)</v>
      </c>
      <c r="D53" s="109"/>
      <c r="E53" s="107"/>
      <c r="F53" s="35">
        <f>OUTROS_BENEFICIOS_2</f>
        <v>0</v>
      </c>
      <c r="G53" s="36"/>
      <c r="H53" s="36"/>
      <c r="I53" s="36"/>
      <c r="J53" s="36"/>
      <c r="K53" s="36"/>
      <c r="L53" s="36"/>
      <c r="M53" s="36"/>
      <c r="N53" s="36"/>
      <c r="O53" s="36"/>
      <c r="P53" s="36"/>
      <c r="Q53" s="36"/>
      <c r="R53" s="36"/>
      <c r="S53" s="36"/>
      <c r="T53" s="36"/>
      <c r="U53" s="36"/>
      <c r="V53" s="36"/>
      <c r="W53" s="36"/>
      <c r="X53" s="36"/>
      <c r="Y53" s="36"/>
      <c r="Z53" s="36"/>
    </row>
    <row r="54" spans="1:26" ht="16.5" customHeight="1" x14ac:dyDescent="0.4">
      <c r="A54" s="36"/>
      <c r="B54" s="7" t="s">
        <v>19</v>
      </c>
      <c r="C54" s="114" t="str">
        <f>OUTROS_BENEFICIOS_3_DESCRICAO</f>
        <v>Outros Benefícios 3 (Especificar)</v>
      </c>
      <c r="D54" s="109"/>
      <c r="E54" s="107"/>
      <c r="F54" s="33">
        <f>OUTROS_BENEFICIOS_3</f>
        <v>0</v>
      </c>
      <c r="G54" s="36"/>
      <c r="H54" s="36"/>
      <c r="I54" s="36"/>
      <c r="J54" s="36"/>
      <c r="K54" s="36"/>
      <c r="L54" s="36"/>
      <c r="M54" s="36"/>
      <c r="N54" s="36"/>
      <c r="O54" s="36"/>
      <c r="P54" s="36"/>
      <c r="Q54" s="36"/>
      <c r="R54" s="36"/>
      <c r="S54" s="36"/>
      <c r="T54" s="36"/>
      <c r="U54" s="36"/>
      <c r="V54" s="36"/>
      <c r="W54" s="36"/>
      <c r="X54" s="36"/>
      <c r="Y54" s="36"/>
      <c r="Z54" s="36"/>
    </row>
    <row r="55" spans="1:26" ht="15" customHeight="1" x14ac:dyDescent="0.4">
      <c r="A55" s="36"/>
      <c r="B55" s="110" t="s">
        <v>150</v>
      </c>
      <c r="C55" s="109"/>
      <c r="D55" s="109"/>
      <c r="E55" s="107"/>
      <c r="F55" s="27">
        <f>SUM(F50:F54)</f>
        <v>778.22490000000005</v>
      </c>
      <c r="G55" s="36"/>
      <c r="H55" s="36"/>
      <c r="I55" s="36"/>
      <c r="J55" s="36"/>
      <c r="K55" s="36"/>
      <c r="L55" s="36"/>
      <c r="M55" s="36"/>
      <c r="N55" s="36"/>
      <c r="O55" s="36"/>
      <c r="P55" s="36"/>
      <c r="Q55" s="36"/>
      <c r="R55" s="36"/>
      <c r="S55" s="36"/>
      <c r="T55" s="36"/>
      <c r="U55" s="36"/>
      <c r="V55" s="36"/>
      <c r="W55" s="36"/>
      <c r="X55" s="36"/>
      <c r="Y55" s="36"/>
      <c r="Z55" s="36"/>
    </row>
    <row r="56" spans="1:26" ht="15.75" customHeight="1" x14ac:dyDescent="0.4">
      <c r="A56" s="1"/>
      <c r="B56" s="22" t="s">
        <v>63</v>
      </c>
      <c r="C56" s="5"/>
      <c r="D56" s="5"/>
      <c r="E56" s="5"/>
      <c r="F56" s="5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</row>
    <row r="57" spans="1:26" ht="15.75" customHeight="1" x14ac:dyDescent="0.4">
      <c r="A57" s="1"/>
      <c r="B57" s="9" t="s">
        <v>64</v>
      </c>
      <c r="C57" s="108" t="s">
        <v>65</v>
      </c>
      <c r="D57" s="109"/>
      <c r="E57" s="107"/>
      <c r="F57" s="24" t="s">
        <v>80</v>
      </c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</row>
    <row r="58" spans="1:26" ht="16.5" customHeight="1" x14ac:dyDescent="0.4">
      <c r="A58" s="1"/>
      <c r="B58" s="7" t="s">
        <v>11</v>
      </c>
      <c r="C58" s="114" t="s">
        <v>65</v>
      </c>
      <c r="D58" s="109"/>
      <c r="E58" s="107"/>
      <c r="F58" s="33">
        <f>(MOD_1_REMUNERACAO_12X36*(TEMPO_INTERVALO_REFEICAO_INTERV_INTRA/60)*(1+PERC_HORA_EXTRA%)*DIAS_TRABALHADOS_NO_MES_12X36)/DIVISOR_DE_HORAS</f>
        <v>0</v>
      </c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</row>
    <row r="59" spans="1:26" ht="16.5" customHeight="1" x14ac:dyDescent="0.4">
      <c r="A59" s="5"/>
      <c r="B59" s="108" t="s">
        <v>150</v>
      </c>
      <c r="C59" s="109"/>
      <c r="D59" s="109"/>
      <c r="E59" s="107"/>
      <c r="F59" s="37">
        <f>SUM(F58)</f>
        <v>0</v>
      </c>
      <c r="G59" s="5"/>
      <c r="H59" s="5"/>
      <c r="I59" s="5"/>
      <c r="J59" s="5"/>
      <c r="K59" s="5"/>
      <c r="L59" s="5"/>
      <c r="M59" s="5"/>
      <c r="N59" s="5"/>
      <c r="O59" s="5"/>
      <c r="P59" s="5"/>
      <c r="Q59" s="5"/>
      <c r="R59" s="5"/>
      <c r="S59" s="5"/>
      <c r="T59" s="5"/>
      <c r="U59" s="5"/>
      <c r="V59" s="5"/>
      <c r="W59" s="5"/>
      <c r="X59" s="5"/>
      <c r="Y59" s="5"/>
      <c r="Z59" s="5"/>
    </row>
    <row r="60" spans="1:26" ht="16.5" customHeight="1" x14ac:dyDescent="0.4">
      <c r="A60" s="36"/>
      <c r="B60" s="22" t="s">
        <v>114</v>
      </c>
      <c r="C60" s="29"/>
      <c r="D60" s="30"/>
      <c r="E60" s="31"/>
      <c r="F60" s="31"/>
      <c r="G60" s="36"/>
      <c r="H60" s="36"/>
      <c r="I60" s="36"/>
      <c r="J60" s="36"/>
      <c r="K60" s="36"/>
      <c r="L60" s="36"/>
      <c r="M60" s="36"/>
      <c r="N60" s="36"/>
      <c r="O60" s="36"/>
      <c r="P60" s="36"/>
      <c r="Q60" s="36"/>
      <c r="R60" s="36"/>
      <c r="S60" s="36"/>
      <c r="T60" s="36"/>
      <c r="U60" s="36"/>
      <c r="V60" s="36"/>
      <c r="W60" s="36"/>
      <c r="X60" s="36"/>
      <c r="Y60" s="36"/>
      <c r="Z60" s="36"/>
    </row>
    <row r="61" spans="1:26" ht="15" customHeight="1" x14ac:dyDescent="0.4">
      <c r="A61" s="36"/>
      <c r="B61" s="9">
        <v>3</v>
      </c>
      <c r="C61" s="108" t="s">
        <v>115</v>
      </c>
      <c r="D61" s="107"/>
      <c r="E61" s="24" t="s">
        <v>73</v>
      </c>
      <c r="F61" s="24" t="s">
        <v>80</v>
      </c>
      <c r="G61" s="36"/>
      <c r="H61" s="36"/>
      <c r="I61" s="36"/>
      <c r="J61" s="36"/>
      <c r="K61" s="36"/>
      <c r="L61" s="36"/>
      <c r="M61" s="36"/>
      <c r="N61" s="36"/>
      <c r="O61" s="36"/>
      <c r="P61" s="36"/>
      <c r="Q61" s="36"/>
      <c r="R61" s="36"/>
      <c r="S61" s="36"/>
      <c r="T61" s="36"/>
      <c r="U61" s="36"/>
      <c r="V61" s="36"/>
      <c r="W61" s="36"/>
      <c r="X61" s="36"/>
      <c r="Y61" s="36"/>
      <c r="Z61" s="36"/>
    </row>
    <row r="62" spans="1:26" ht="16.5" customHeight="1" x14ac:dyDescent="0.4">
      <c r="A62" s="36"/>
      <c r="B62" s="9" t="s">
        <v>11</v>
      </c>
      <c r="C62" s="113" t="s">
        <v>151</v>
      </c>
      <c r="D62" s="107"/>
      <c r="E62" s="32">
        <f>PERC_AVISO_PREVIO_IND</f>
        <v>0.29105124999999998</v>
      </c>
      <c r="F62" s="33">
        <f>PERC_AVISO_PREVIO_IND%*(MOD_1_REMUNERACAO_12X36+'POSTO 12x36 HORAS'!SUBMOD_2_1_DEC_TERC_ADIC_FERIAS_12x36)</f>
        <v>8.8905484995833319</v>
      </c>
      <c r="G62" s="36"/>
      <c r="H62" s="36"/>
      <c r="I62" s="36"/>
      <c r="J62" s="36"/>
      <c r="K62" s="36"/>
      <c r="L62" s="36"/>
      <c r="M62" s="36"/>
      <c r="N62" s="36"/>
      <c r="O62" s="36"/>
      <c r="P62" s="36"/>
      <c r="Q62" s="36"/>
      <c r="R62" s="36"/>
      <c r="S62" s="36"/>
      <c r="T62" s="36"/>
      <c r="U62" s="36"/>
      <c r="V62" s="36"/>
      <c r="W62" s="36"/>
      <c r="X62" s="36"/>
      <c r="Y62" s="36"/>
      <c r="Z62" s="36"/>
    </row>
    <row r="63" spans="1:26" ht="16.5" customHeight="1" x14ac:dyDescent="0.4">
      <c r="A63" s="36"/>
      <c r="B63" s="24" t="s">
        <v>13</v>
      </c>
      <c r="C63" s="112" t="s">
        <v>153</v>
      </c>
      <c r="D63" s="107"/>
      <c r="E63" s="38">
        <f>INCID_FGTS_SOBRE_API</f>
        <v>2.3284099999999999E-2</v>
      </c>
      <c r="F63" s="35">
        <f>INCID_FGTS_SOBRE_API%*(MOD_1_REMUNERACAO_12X36+'POSTO 12x36 HORAS'!SUBMOD_2_1_DEC_TERC_ADIC_FERIAS_12x36)</f>
        <v>0.7112438799666666</v>
      </c>
      <c r="G63" s="36"/>
      <c r="H63" s="36"/>
      <c r="I63" s="36"/>
      <c r="J63" s="36"/>
      <c r="K63" s="36"/>
      <c r="L63" s="36"/>
      <c r="M63" s="36"/>
      <c r="N63" s="36"/>
      <c r="O63" s="36"/>
      <c r="P63" s="36"/>
      <c r="Q63" s="36"/>
      <c r="R63" s="36"/>
      <c r="S63" s="36"/>
      <c r="T63" s="36"/>
      <c r="U63" s="36"/>
      <c r="V63" s="36"/>
      <c r="W63" s="36"/>
      <c r="X63" s="36"/>
      <c r="Y63" s="36"/>
      <c r="Z63" s="36"/>
    </row>
    <row r="64" spans="1:26" ht="16.5" customHeight="1" x14ac:dyDescent="0.35">
      <c r="A64" s="5"/>
      <c r="B64" s="24" t="s">
        <v>15</v>
      </c>
      <c r="C64" s="113" t="s">
        <v>155</v>
      </c>
      <c r="D64" s="107"/>
      <c r="E64" s="32">
        <f>PERC_MULTA_FGTS_AV_PREV_IND</f>
        <v>0.11176368</v>
      </c>
      <c r="F64" s="33">
        <f>PERC_MULTA_FGTS_AV_PREV_IND%*(MOD_1_REMUNERACAO_12X36+'POSTO 12x36 HORAS'!SUBMOD_2_1_DEC_TERC_ADIC_FERIAS_12x36)</f>
        <v>3.4139706238400001</v>
      </c>
      <c r="G64" s="5"/>
      <c r="H64" s="5"/>
      <c r="I64" s="5"/>
      <c r="J64" s="5"/>
      <c r="K64" s="5"/>
      <c r="L64" s="5"/>
      <c r="M64" s="5"/>
      <c r="N64" s="5"/>
      <c r="O64" s="5"/>
      <c r="P64" s="5"/>
      <c r="Q64" s="5"/>
      <c r="R64" s="5"/>
      <c r="S64" s="5"/>
      <c r="T64" s="5"/>
      <c r="U64" s="5"/>
      <c r="V64" s="5"/>
      <c r="W64" s="5"/>
      <c r="X64" s="5"/>
      <c r="Y64" s="5"/>
      <c r="Z64" s="5"/>
    </row>
    <row r="65" spans="1:26" ht="16.5" customHeight="1" x14ac:dyDescent="0.35">
      <c r="A65" s="5"/>
      <c r="B65" s="24" t="s">
        <v>17</v>
      </c>
      <c r="C65" s="112" t="s">
        <v>157</v>
      </c>
      <c r="D65" s="107"/>
      <c r="E65" s="38">
        <f>PERC_AVISO_PREVIO_TRAB</f>
        <v>1.1557269305555555</v>
      </c>
      <c r="F65" s="35">
        <f>PERC_AVISO_PREVIO_TRAB%*(MOD_1_REMUNERACAO_12X36+'POSTO 12x36 HORAS'!SUBMOD_2_1_DEC_TERC_ADIC_FERIAS_12x36)</f>
        <v>35.303220063060181</v>
      </c>
      <c r="G65" s="5"/>
      <c r="H65" s="5"/>
      <c r="I65" s="5"/>
      <c r="J65" s="5"/>
      <c r="K65" s="5"/>
      <c r="L65" s="5"/>
      <c r="M65" s="5"/>
      <c r="N65" s="5"/>
      <c r="O65" s="5"/>
      <c r="P65" s="5"/>
      <c r="Q65" s="5"/>
      <c r="R65" s="5"/>
      <c r="S65" s="5"/>
      <c r="T65" s="5"/>
      <c r="U65" s="5"/>
      <c r="V65" s="5"/>
      <c r="W65" s="5"/>
      <c r="X65" s="5"/>
      <c r="Y65" s="5"/>
      <c r="Z65" s="5"/>
    </row>
    <row r="66" spans="1:26" ht="16.5" customHeight="1" x14ac:dyDescent="0.35">
      <c r="A66" s="5"/>
      <c r="B66" s="24" t="s">
        <v>19</v>
      </c>
      <c r="C66" s="113" t="s">
        <v>159</v>
      </c>
      <c r="D66" s="107"/>
      <c r="E66" s="32">
        <f>INCID_SUBMOD_2_2_APT</f>
        <v>0.45997931836111106</v>
      </c>
      <c r="F66" s="33">
        <f>E66%*(MOD_1_REMUNERACAO_12X36+'POSTO 12x36 HORAS'!SUBMOD_2_1_DEC_TERC_ADIC_FERIAS_12x36)</f>
        <v>14.050681585097951</v>
      </c>
      <c r="G66" s="5"/>
      <c r="H66" s="5"/>
      <c r="I66" s="5"/>
      <c r="J66" s="5"/>
      <c r="K66" s="5"/>
      <c r="L66" s="5"/>
      <c r="M66" s="5"/>
      <c r="N66" s="5"/>
      <c r="O66" s="5"/>
      <c r="P66" s="5"/>
      <c r="Q66" s="5"/>
      <c r="R66" s="5"/>
      <c r="S66" s="5"/>
      <c r="T66" s="5"/>
      <c r="U66" s="5"/>
      <c r="V66" s="5"/>
      <c r="W66" s="5"/>
      <c r="X66" s="5"/>
      <c r="Y66" s="5"/>
      <c r="Z66" s="5"/>
    </row>
    <row r="67" spans="1:26" ht="16.5" customHeight="1" x14ac:dyDescent="0.35">
      <c r="A67" s="5"/>
      <c r="B67" s="24" t="s">
        <v>42</v>
      </c>
      <c r="C67" s="112" t="s">
        <v>161</v>
      </c>
      <c r="D67" s="107"/>
      <c r="E67" s="38">
        <f>PERC_MULTA_FGTS_AV_PREV_TRAB</f>
        <v>1.9019963200000001</v>
      </c>
      <c r="F67" s="35">
        <f>PERC_MULTA_FGTS_AV_PREV_TRAB%*(MOD_1_REMUNERACAO_12X36+'POSTO 12x36 HORAS'!SUBMOD_2_1_DEC_TERC_ADIC_FERIAS_12x36)</f>
        <v>58.099013589493332</v>
      </c>
      <c r="G67" s="5"/>
      <c r="H67" s="5"/>
      <c r="I67" s="5"/>
      <c r="J67" s="5"/>
      <c r="K67" s="5"/>
      <c r="L67" s="5"/>
      <c r="M67" s="5"/>
      <c r="N67" s="5"/>
      <c r="O67" s="5"/>
      <c r="P67" s="5"/>
      <c r="Q67" s="5"/>
      <c r="R67" s="5"/>
      <c r="S67" s="5"/>
      <c r="T67" s="5"/>
      <c r="U67" s="5"/>
      <c r="V67" s="5"/>
      <c r="W67" s="5"/>
      <c r="X67" s="5"/>
      <c r="Y67" s="5"/>
      <c r="Z67" s="5"/>
    </row>
    <row r="68" spans="1:26" ht="16.5" customHeight="1" x14ac:dyDescent="0.4">
      <c r="A68" s="5"/>
      <c r="B68" s="108" t="s">
        <v>150</v>
      </c>
      <c r="C68" s="109"/>
      <c r="D68" s="109"/>
      <c r="E68" s="107"/>
      <c r="F68" s="37">
        <f>SUM(F62:F67)</f>
        <v>120.46867824104146</v>
      </c>
      <c r="G68" s="5"/>
      <c r="H68" s="5"/>
      <c r="I68" s="5"/>
      <c r="J68" s="5"/>
      <c r="K68" s="5"/>
      <c r="L68" s="5"/>
      <c r="M68" s="5"/>
      <c r="N68" s="5"/>
      <c r="O68" s="5"/>
      <c r="P68" s="5"/>
      <c r="Q68" s="5"/>
      <c r="R68" s="5"/>
      <c r="S68" s="5"/>
      <c r="T68" s="5"/>
      <c r="U68" s="5"/>
      <c r="V68" s="5"/>
      <c r="W68" s="5"/>
      <c r="X68" s="5"/>
      <c r="Y68" s="5"/>
      <c r="Z68" s="5"/>
    </row>
    <row r="69" spans="1:26" ht="7.5" customHeight="1" x14ac:dyDescent="0.4">
      <c r="A69" s="1"/>
      <c r="B69" s="40"/>
      <c r="C69" s="1"/>
      <c r="D69" s="41"/>
      <c r="E69" s="23"/>
      <c r="F69" s="23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</row>
    <row r="70" spans="1:26" ht="15.75" customHeight="1" x14ac:dyDescent="0.4">
      <c r="A70" s="5"/>
      <c r="B70" s="22" t="s">
        <v>69</v>
      </c>
      <c r="C70" s="29"/>
      <c r="D70" s="30"/>
      <c r="E70" s="1"/>
      <c r="F70" s="1"/>
      <c r="G70" s="5"/>
      <c r="H70" s="5"/>
      <c r="I70" s="5"/>
      <c r="J70" s="5"/>
      <c r="K70" s="5"/>
      <c r="L70" s="5"/>
      <c r="M70" s="5"/>
      <c r="N70" s="5"/>
      <c r="O70" s="5"/>
      <c r="P70" s="5"/>
      <c r="Q70" s="5"/>
      <c r="R70" s="5"/>
      <c r="S70" s="5"/>
      <c r="T70" s="5"/>
      <c r="U70" s="5"/>
      <c r="V70" s="5"/>
      <c r="W70" s="5"/>
      <c r="X70" s="5"/>
      <c r="Y70" s="5"/>
      <c r="Z70" s="5"/>
    </row>
    <row r="71" spans="1:26" ht="15.75" customHeight="1" x14ac:dyDescent="0.4">
      <c r="A71" s="5"/>
      <c r="B71" s="22" t="s">
        <v>70</v>
      </c>
      <c r="C71" s="29"/>
      <c r="D71" s="30"/>
      <c r="E71" s="31"/>
      <c r="F71" s="31"/>
      <c r="G71" s="5"/>
      <c r="H71" s="5"/>
      <c r="I71" s="5"/>
      <c r="J71" s="5"/>
      <c r="K71" s="5"/>
      <c r="L71" s="5"/>
      <c r="M71" s="5"/>
      <c r="N71" s="5"/>
      <c r="O71" s="5"/>
      <c r="P71" s="5"/>
      <c r="Q71" s="5"/>
      <c r="R71" s="5"/>
      <c r="S71" s="5"/>
      <c r="T71" s="5"/>
      <c r="U71" s="5"/>
      <c r="V71" s="5"/>
      <c r="W71" s="5"/>
      <c r="X71" s="5"/>
      <c r="Y71" s="5"/>
      <c r="Z71" s="5"/>
    </row>
    <row r="72" spans="1:26" ht="16.5" customHeight="1" x14ac:dyDescent="0.35">
      <c r="A72" s="5"/>
      <c r="B72" s="9" t="s">
        <v>71</v>
      </c>
      <c r="C72" s="110" t="s">
        <v>72</v>
      </c>
      <c r="D72" s="107"/>
      <c r="E72" s="24" t="s">
        <v>73</v>
      </c>
      <c r="F72" s="24" t="s">
        <v>80</v>
      </c>
      <c r="G72" s="5"/>
      <c r="H72" s="5"/>
      <c r="I72" s="5"/>
      <c r="J72" s="5"/>
      <c r="K72" s="5"/>
      <c r="L72" s="5"/>
      <c r="M72" s="5"/>
      <c r="N72" s="5"/>
      <c r="O72" s="5"/>
      <c r="P72" s="5"/>
      <c r="Q72" s="5"/>
      <c r="R72" s="5"/>
      <c r="S72" s="5"/>
      <c r="T72" s="5"/>
      <c r="U72" s="5"/>
      <c r="V72" s="5"/>
      <c r="W72" s="5"/>
      <c r="X72" s="5"/>
      <c r="Y72" s="5"/>
      <c r="Z72" s="5"/>
    </row>
    <row r="73" spans="1:26" ht="15.75" customHeight="1" x14ac:dyDescent="0.35">
      <c r="A73" s="5"/>
      <c r="B73" s="24" t="s">
        <v>11</v>
      </c>
      <c r="C73" s="111" t="s">
        <v>163</v>
      </c>
      <c r="D73" s="107"/>
      <c r="E73" s="32">
        <f>PERC_SUBSTITUTO_FERIAS</f>
        <v>8.3333333333333321</v>
      </c>
      <c r="F73" s="33">
        <f t="array" ref="F73">PERC_SUBSTITUTO_FERIAS%*(MOD_1_REMUNERACAO_12X36+'POSTO 12x36 HORAS'!MOD_2_ENCARGOS_BENEFICIOS_12x36)</f>
        <v>420.71685833333328</v>
      </c>
      <c r="G73" s="5"/>
      <c r="H73" s="5"/>
      <c r="I73" s="5"/>
      <c r="J73" s="5"/>
      <c r="K73" s="5"/>
      <c r="L73" s="5"/>
      <c r="M73" s="5"/>
      <c r="N73" s="5"/>
      <c r="O73" s="5"/>
      <c r="P73" s="5"/>
      <c r="Q73" s="5"/>
      <c r="R73" s="5"/>
      <c r="S73" s="5"/>
      <c r="T73" s="5"/>
      <c r="U73" s="5"/>
      <c r="V73" s="5"/>
      <c r="W73" s="5"/>
      <c r="X73" s="5"/>
      <c r="Y73" s="5"/>
      <c r="Z73" s="5"/>
    </row>
    <row r="74" spans="1:26" ht="15.75" customHeight="1" x14ac:dyDescent="0.35">
      <c r="A74" s="5"/>
      <c r="B74" s="24" t="s">
        <v>13</v>
      </c>
      <c r="C74" s="106" t="s">
        <v>165</v>
      </c>
      <c r="D74" s="107"/>
      <c r="E74" s="38">
        <f>PERC_SUBSTITUTO_AUSENCIAS_LEGAIS</f>
        <v>2.2222222222222223</v>
      </c>
      <c r="F74" s="35">
        <f t="array" ref="F74">PERC_SUBSTITUTO_AUSENCIAS_LEGAIS%*(MOD_1_REMUNERACAO_12X36+'POSTO 12x36 HORAS'!MOD_2_ENCARGOS_BENEFICIOS_12x36)</f>
        <v>112.19116222222223</v>
      </c>
      <c r="G74" s="5"/>
      <c r="H74" s="5"/>
      <c r="I74" s="5"/>
      <c r="J74" s="5"/>
      <c r="K74" s="5"/>
      <c r="L74" s="5"/>
      <c r="M74" s="5"/>
      <c r="N74" s="5"/>
      <c r="O74" s="5"/>
      <c r="P74" s="5"/>
      <c r="Q74" s="5"/>
      <c r="R74" s="5"/>
      <c r="S74" s="5"/>
      <c r="T74" s="5"/>
      <c r="U74" s="5"/>
      <c r="V74" s="5"/>
      <c r="W74" s="5"/>
      <c r="X74" s="5"/>
      <c r="Y74" s="5"/>
      <c r="Z74" s="5"/>
    </row>
    <row r="75" spans="1:26" ht="15.75" customHeight="1" x14ac:dyDescent="0.35">
      <c r="A75" s="5"/>
      <c r="B75" s="24" t="s">
        <v>15</v>
      </c>
      <c r="C75" s="111" t="s">
        <v>167</v>
      </c>
      <c r="D75" s="107"/>
      <c r="E75" s="32">
        <f>PERC_SUBSTITUTO_LICENCA_PATERNIDADE</f>
        <v>1.7051833333333329E-2</v>
      </c>
      <c r="F75" s="33">
        <f t="array" ref="F75">PERC_SUBSTITUTO_LICENCA_PATERNIDADE%*(MOD_1_REMUNERACAO_12X36+'POSTO 12x36 HORAS'!MOD_2_ENCARGOS_BENEFICIOS_12x36)</f>
        <v>0.86087924985883313</v>
      </c>
      <c r="G75" s="5"/>
      <c r="H75" s="5"/>
      <c r="I75" s="5"/>
      <c r="J75" s="5"/>
      <c r="K75" s="5"/>
      <c r="L75" s="5"/>
      <c r="M75" s="5"/>
      <c r="N75" s="5"/>
      <c r="O75" s="5"/>
      <c r="P75" s="5"/>
      <c r="Q75" s="5"/>
      <c r="R75" s="5"/>
      <c r="S75" s="5"/>
      <c r="T75" s="5"/>
      <c r="U75" s="5"/>
      <c r="V75" s="5"/>
      <c r="W75" s="5"/>
      <c r="X75" s="5"/>
      <c r="Y75" s="5"/>
      <c r="Z75" s="5"/>
    </row>
    <row r="76" spans="1:26" ht="16.5" customHeight="1" x14ac:dyDescent="0.35">
      <c r="A76" s="5"/>
      <c r="B76" s="24" t="s">
        <v>17</v>
      </c>
      <c r="C76" s="106" t="s">
        <v>169</v>
      </c>
      <c r="D76" s="107"/>
      <c r="E76" s="38">
        <f>PERC_SUBSTITUTO_ACID_TRAB</f>
        <v>1.85302229372558E-2</v>
      </c>
      <c r="F76" s="35">
        <f t="array" ref="F76">PERC_SUBSTITUTO_ACID_TRAB%*(MOD_1_REMUNERACAO_12X36+'POSTO 12x36 HORAS'!MOD_2_ENCARGOS_BENEFICIOS_12x36)</f>
        <v>0.93551726140542391</v>
      </c>
      <c r="G76" s="5"/>
      <c r="H76" s="5"/>
      <c r="I76" s="5"/>
      <c r="J76" s="5"/>
      <c r="K76" s="5"/>
      <c r="L76" s="5"/>
      <c r="M76" s="5"/>
      <c r="N76" s="5"/>
      <c r="O76" s="5"/>
      <c r="P76" s="5"/>
      <c r="Q76" s="5"/>
      <c r="R76" s="5"/>
      <c r="S76" s="5"/>
      <c r="T76" s="5"/>
      <c r="U76" s="5"/>
      <c r="V76" s="5"/>
      <c r="W76" s="5"/>
      <c r="X76" s="5"/>
      <c r="Y76" s="5"/>
      <c r="Z76" s="5"/>
    </row>
    <row r="77" spans="1:26" ht="16.5" customHeight="1" x14ac:dyDescent="0.35">
      <c r="A77" s="5"/>
      <c r="B77" s="24" t="s">
        <v>19</v>
      </c>
      <c r="C77" s="111" t="s">
        <v>171</v>
      </c>
      <c r="D77" s="107"/>
      <c r="E77" s="32">
        <f>PERC_SUBSTITUTO_AFAST_MATERN</f>
        <v>2.5507554666666658E-2</v>
      </c>
      <c r="F77" s="33">
        <f t="array" ref="F77">PERC_SUBSTITUTO_AFAST_MATERN%*(MOD_1_REMUNERACAO_12X36+'POSTO 12x36 HORAS'!MOD_2_ENCARGOS_BENEFICIOS_12x36)</f>
        <v>1.2877749915750905</v>
      </c>
      <c r="G77" s="5"/>
      <c r="H77" s="5"/>
      <c r="I77" s="5"/>
      <c r="J77" s="5"/>
      <c r="K77" s="5"/>
      <c r="L77" s="5"/>
      <c r="M77" s="5"/>
      <c r="N77" s="5"/>
      <c r="O77" s="5"/>
      <c r="P77" s="5"/>
      <c r="Q77" s="5"/>
      <c r="R77" s="5"/>
      <c r="S77" s="5"/>
      <c r="T77" s="5"/>
      <c r="U77" s="5"/>
      <c r="V77" s="5"/>
      <c r="W77" s="5"/>
      <c r="X77" s="5"/>
      <c r="Y77" s="5"/>
      <c r="Z77" s="5"/>
    </row>
    <row r="78" spans="1:26" ht="16.5" customHeight="1" x14ac:dyDescent="0.35">
      <c r="A78" s="5"/>
      <c r="B78" s="24" t="s">
        <v>42</v>
      </c>
      <c r="C78" s="116" t="str">
        <f>OUTRAS_AUSENCIAS_DESCRICAO</f>
        <v>Outras Ausências (Especificar em %)</v>
      </c>
      <c r="D78" s="107"/>
      <c r="E78" s="42">
        <f>PERC_SUBSTITUTO_OUTRAS_AUSENCIAS</f>
        <v>0</v>
      </c>
      <c r="F78" s="35">
        <f t="array" ref="F78">PERC_SUBSTITUTO_OUTRAS_AUSENCIAS%*(MOD_1_REMUNERACAO_12X36+'POSTO 12x36 HORAS'!MOD_2_ENCARGOS_BENEFICIOS_12x36)</f>
        <v>0</v>
      </c>
      <c r="G78" s="5"/>
      <c r="H78" s="5"/>
      <c r="I78" s="5"/>
      <c r="J78" s="5"/>
      <c r="K78" s="5"/>
      <c r="L78" s="5"/>
      <c r="M78" s="5"/>
      <c r="N78" s="5"/>
      <c r="O78" s="5"/>
      <c r="P78" s="5"/>
      <c r="Q78" s="5"/>
      <c r="R78" s="5"/>
      <c r="S78" s="5"/>
      <c r="T78" s="5"/>
      <c r="U78" s="5"/>
      <c r="V78" s="5"/>
      <c r="W78" s="5"/>
      <c r="X78" s="5"/>
      <c r="Y78" s="5"/>
      <c r="Z78" s="5"/>
    </row>
    <row r="79" spans="1:26" ht="16.5" customHeight="1" x14ac:dyDescent="0.4">
      <c r="A79" s="5"/>
      <c r="B79" s="108" t="s">
        <v>150</v>
      </c>
      <c r="C79" s="109"/>
      <c r="D79" s="109"/>
      <c r="E79" s="107"/>
      <c r="F79" s="37">
        <f>SUM(F73:F78)</f>
        <v>535.99219205839483</v>
      </c>
      <c r="G79" s="5"/>
      <c r="H79" s="5"/>
      <c r="I79" s="5"/>
      <c r="J79" s="5"/>
      <c r="K79" s="5"/>
      <c r="L79" s="5"/>
      <c r="M79" s="5"/>
      <c r="N79" s="5"/>
      <c r="O79" s="5"/>
      <c r="P79" s="5"/>
      <c r="Q79" s="5"/>
      <c r="R79" s="5"/>
      <c r="S79" s="5"/>
      <c r="T79" s="5"/>
      <c r="U79" s="5"/>
      <c r="V79" s="5"/>
      <c r="W79" s="5"/>
      <c r="X79" s="5"/>
      <c r="Y79" s="5"/>
      <c r="Z79" s="5"/>
    </row>
    <row r="80" spans="1:26" ht="15" customHeight="1" x14ac:dyDescent="0.4">
      <c r="A80" s="5"/>
      <c r="B80" s="22" t="s">
        <v>75</v>
      </c>
      <c r="C80" s="29"/>
      <c r="D80" s="30"/>
      <c r="E80" s="31"/>
      <c r="F80" s="31"/>
      <c r="G80" s="5"/>
      <c r="H80" s="5"/>
      <c r="I80" s="5"/>
      <c r="J80" s="5"/>
      <c r="K80" s="5"/>
      <c r="L80" s="5"/>
      <c r="M80" s="5"/>
      <c r="N80" s="5"/>
      <c r="O80" s="5"/>
      <c r="P80" s="5"/>
      <c r="Q80" s="5"/>
      <c r="R80" s="5"/>
      <c r="S80" s="5"/>
      <c r="T80" s="5"/>
      <c r="U80" s="5"/>
      <c r="V80" s="5"/>
      <c r="W80" s="5"/>
      <c r="X80" s="5"/>
      <c r="Y80" s="5"/>
      <c r="Z80" s="5"/>
    </row>
    <row r="81" spans="1:26" ht="16.5" customHeight="1" x14ac:dyDescent="0.35">
      <c r="A81" s="5"/>
      <c r="B81" s="9" t="s">
        <v>76</v>
      </c>
      <c r="C81" s="108" t="s">
        <v>77</v>
      </c>
      <c r="D81" s="109"/>
      <c r="E81" s="107"/>
      <c r="F81" s="24" t="s">
        <v>80</v>
      </c>
      <c r="G81" s="5"/>
      <c r="H81" s="5"/>
      <c r="I81" s="5"/>
      <c r="J81" s="5"/>
      <c r="K81" s="5"/>
      <c r="L81" s="5"/>
      <c r="M81" s="5"/>
      <c r="N81" s="5"/>
      <c r="O81" s="5"/>
      <c r="P81" s="5"/>
      <c r="Q81" s="5"/>
      <c r="R81" s="5"/>
      <c r="S81" s="5"/>
      <c r="T81" s="5"/>
      <c r="U81" s="5"/>
      <c r="V81" s="5"/>
      <c r="W81" s="5"/>
      <c r="X81" s="5"/>
      <c r="Y81" s="5"/>
      <c r="Z81" s="5"/>
    </row>
    <row r="82" spans="1:26" ht="16.5" customHeight="1" x14ac:dyDescent="0.35">
      <c r="A82" s="5"/>
      <c r="B82" s="9" t="s">
        <v>11</v>
      </c>
      <c r="C82" s="111" t="s">
        <v>187</v>
      </c>
      <c r="D82" s="109"/>
      <c r="E82" s="107"/>
      <c r="F82" s="25">
        <f>((MOD_1_REMUNERACAO_12X36+'POSTO 12x36 HORAS'!MOD_2_ENCARGOS_BENEFICIOS_12x36-SUBMOD_2_4_INTERVALO_INTRAJORNADA_12X36+'POSTO 12x36 HORAS'!MOD_3_PROVISAO_RESCISAO_12x36)/DIVISOR_DE_HORAS)*((TEMPO_INTERVALO_REFEICAO_SUBST_INTRA/HORA_NORMAL))*DIAS_TRABALHADOS_NO_MES_12X36</f>
        <v>0</v>
      </c>
      <c r="G82" s="5"/>
      <c r="H82" s="5"/>
      <c r="I82" s="5"/>
      <c r="J82" s="5"/>
      <c r="K82" s="5"/>
      <c r="L82" s="5"/>
      <c r="M82" s="5"/>
      <c r="N82" s="5"/>
      <c r="O82" s="5"/>
      <c r="P82" s="5"/>
      <c r="Q82" s="5"/>
      <c r="R82" s="5"/>
      <c r="S82" s="5"/>
      <c r="T82" s="5"/>
      <c r="U82" s="5"/>
      <c r="V82" s="5"/>
      <c r="W82" s="5"/>
      <c r="X82" s="5"/>
      <c r="Y82" s="5"/>
      <c r="Z82" s="5"/>
    </row>
    <row r="83" spans="1:26" ht="16.5" customHeight="1" x14ac:dyDescent="0.4">
      <c r="A83" s="5"/>
      <c r="B83" s="108" t="s">
        <v>150</v>
      </c>
      <c r="C83" s="109"/>
      <c r="D83" s="109"/>
      <c r="E83" s="107"/>
      <c r="F83" s="37">
        <f>SUM(F82)</f>
        <v>0</v>
      </c>
      <c r="G83" s="5"/>
      <c r="H83" s="5"/>
      <c r="I83" s="5"/>
      <c r="J83" s="5"/>
      <c r="K83" s="5"/>
      <c r="L83" s="5"/>
      <c r="M83" s="5"/>
      <c r="N83" s="5"/>
      <c r="O83" s="5"/>
      <c r="P83" s="5"/>
      <c r="Q83" s="5"/>
      <c r="R83" s="5"/>
      <c r="S83" s="5"/>
      <c r="T83" s="5"/>
      <c r="U83" s="5"/>
      <c r="V83" s="5"/>
      <c r="W83" s="5"/>
      <c r="X83" s="5"/>
      <c r="Y83" s="5"/>
      <c r="Z83" s="5"/>
    </row>
    <row r="84" spans="1:26" ht="7.5" customHeight="1" x14ac:dyDescent="0.4">
      <c r="A84" s="1"/>
      <c r="B84" s="40"/>
      <c r="C84" s="1"/>
      <c r="D84" s="41"/>
      <c r="E84" s="23"/>
      <c r="F84" s="23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</row>
    <row r="85" spans="1:26" ht="16.5" customHeight="1" x14ac:dyDescent="0.4">
      <c r="A85" s="1"/>
      <c r="B85" s="22" t="s">
        <v>78</v>
      </c>
      <c r="C85" s="29"/>
      <c r="D85" s="29"/>
      <c r="E85" s="31"/>
      <c r="F85" s="3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</row>
    <row r="86" spans="1:26" ht="15.75" customHeight="1" x14ac:dyDescent="0.4">
      <c r="A86" s="1"/>
      <c r="B86" s="43">
        <v>5</v>
      </c>
      <c r="C86" s="141" t="s">
        <v>79</v>
      </c>
      <c r="D86" s="138"/>
      <c r="E86" s="139"/>
      <c r="F86" s="44" t="s">
        <v>80</v>
      </c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</row>
    <row r="87" spans="1:26" ht="16.5" customHeight="1" x14ac:dyDescent="0.4">
      <c r="A87" s="1"/>
      <c r="B87" s="45" t="s">
        <v>11</v>
      </c>
      <c r="C87" s="137" t="s">
        <v>81</v>
      </c>
      <c r="D87" s="138"/>
      <c r="E87" s="139"/>
      <c r="F87" s="46">
        <f>UNIFORMES</f>
        <v>129.87</v>
      </c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</row>
    <row r="88" spans="1:26" ht="16.5" customHeight="1" x14ac:dyDescent="0.4">
      <c r="A88" s="1"/>
      <c r="B88" s="45" t="s">
        <v>13</v>
      </c>
      <c r="C88" s="143" t="s">
        <v>82</v>
      </c>
      <c r="D88" s="138"/>
      <c r="E88" s="139"/>
      <c r="F88" s="47">
        <f>MATERIAIS</f>
        <v>192.11</v>
      </c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</row>
    <row r="89" spans="1:26" ht="16.5" customHeight="1" x14ac:dyDescent="0.4">
      <c r="A89" s="1"/>
      <c r="B89" s="45" t="s">
        <v>15</v>
      </c>
      <c r="C89" s="137" t="s">
        <v>83</v>
      </c>
      <c r="D89" s="138"/>
      <c r="E89" s="139"/>
      <c r="F89" s="46">
        <f>EQUIPAMENTOS</f>
        <v>0.52</v>
      </c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</row>
    <row r="90" spans="1:26" ht="16.5" customHeight="1" x14ac:dyDescent="0.4">
      <c r="A90" s="1"/>
      <c r="B90" s="45" t="s">
        <v>17</v>
      </c>
      <c r="C90" s="140" t="str">
        <f>OUTROS_INSUMOS_DESCRICAO</f>
        <v>EPI</v>
      </c>
      <c r="D90" s="138"/>
      <c r="E90" s="139"/>
      <c r="F90" s="47">
        <f>OUTROS_INSUMOS</f>
        <v>19.36</v>
      </c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</row>
    <row r="91" spans="1:26" ht="16.5" customHeight="1" x14ac:dyDescent="0.4">
      <c r="A91" s="1"/>
      <c r="B91" s="141" t="s">
        <v>150</v>
      </c>
      <c r="C91" s="138"/>
      <c r="D91" s="138"/>
      <c r="E91" s="139"/>
      <c r="F91" s="48">
        <f>SUM(F87:F90)</f>
        <v>341.86</v>
      </c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</row>
    <row r="92" spans="1:26" ht="7.5" customHeight="1" x14ac:dyDescent="0.4">
      <c r="A92" s="1"/>
      <c r="B92" s="40"/>
      <c r="C92" s="1"/>
      <c r="D92" s="41"/>
      <c r="E92" s="23"/>
      <c r="F92" s="23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</row>
    <row r="93" spans="1:26" ht="15" customHeight="1" x14ac:dyDescent="0.4">
      <c r="A93" s="1"/>
      <c r="B93" s="142" t="s">
        <v>84</v>
      </c>
      <c r="C93" s="122"/>
      <c r="D93" s="122"/>
      <c r="E93" s="122"/>
      <c r="F93" s="123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</row>
    <row r="94" spans="1:26" ht="16.5" customHeight="1" x14ac:dyDescent="0.4">
      <c r="A94" s="1"/>
      <c r="B94" s="9">
        <v>6</v>
      </c>
      <c r="C94" s="108" t="s">
        <v>85</v>
      </c>
      <c r="D94" s="107"/>
      <c r="E94" s="24" t="s">
        <v>73</v>
      </c>
      <c r="F94" s="24" t="s">
        <v>80</v>
      </c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</row>
    <row r="95" spans="1:26" ht="16.5" customHeight="1" x14ac:dyDescent="0.4">
      <c r="A95" s="1"/>
      <c r="B95" s="9" t="s">
        <v>11</v>
      </c>
      <c r="C95" s="111" t="s">
        <v>86</v>
      </c>
      <c r="D95" s="107"/>
      <c r="E95" s="49">
        <f>PERC_CUSTOS_INDIRETOS</f>
        <v>4.7300000000000004</v>
      </c>
      <c r="F95" s="33">
        <f>PERC_CUSTOS_INDIRETOS%*(MOD_1_REMUNERACAO_12X36+'POSTO 12x36 HORAS'!MOD_2_ENCARGOS_BENEFICIOS_12x36+'POSTO 12x36 HORAS'!MOD_3_PROVISAO_RESCISAO_12x36+'POSTO 12x36 HORAS'!MOD_4_CUSTO_REPOSICAO_12x36+'POSTO 12x36 HORAS'!MOD_5_INSUMOS_12x36)</f>
        <v>286.01946595516335</v>
      </c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</row>
    <row r="96" spans="1:26" ht="15.75" customHeight="1" x14ac:dyDescent="0.4">
      <c r="A96" s="1"/>
      <c r="B96" s="24" t="s">
        <v>13</v>
      </c>
      <c r="C96" s="106" t="s">
        <v>87</v>
      </c>
      <c r="D96" s="107"/>
      <c r="E96" s="50">
        <f>PERC_LUCRO</f>
        <v>5.57</v>
      </c>
      <c r="F96" s="35">
        <f>PERC_LUCRO%*(MOD_1_REMUNERACAO_12X36+'POSTO 12x36 HORAS'!MOD_2_ENCARGOS_BENEFICIOS_12x36+'POSTO 12x36 HORAS'!MOD_3_PROVISAO_RESCISAO_12x36+'POSTO 12x36 HORAS'!MOD_4_CUSTO_REPOSICAO_12x36+'POSTO 12x36 HORAS'!MOD_5_INSUMOS_12x36+'POSTO 12x36 HORAS'!AL_6_A_CUSTOS_INDIRETOS_12x36)</f>
        <v>352.74490483938121</v>
      </c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</row>
    <row r="97" spans="1:26" ht="16.5" customHeight="1" x14ac:dyDescent="0.4">
      <c r="A97" s="1"/>
      <c r="B97" s="24" t="s">
        <v>15</v>
      </c>
      <c r="C97" s="111" t="s">
        <v>188</v>
      </c>
      <c r="D97" s="107"/>
      <c r="E97" s="49">
        <f t="shared" ref="E97:F97" si="0">SUM(E98:E100)</f>
        <v>8.65</v>
      </c>
      <c r="F97" s="33">
        <f t="shared" si="0"/>
        <v>633.07276661699984</v>
      </c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</row>
    <row r="98" spans="1:26" ht="15.75" customHeight="1" x14ac:dyDescent="0.4">
      <c r="A98" s="1"/>
      <c r="B98" s="51" t="s">
        <v>88</v>
      </c>
      <c r="C98" s="117" t="s">
        <v>89</v>
      </c>
      <c r="D98" s="107"/>
      <c r="E98" s="52">
        <f>PERC_PIS</f>
        <v>0.65</v>
      </c>
      <c r="F98" s="53">
        <f>((MOD_1_REMUNERACAO_12X36+'POSTO 12x36 HORAS'!MOD_2_ENCARGOS_BENEFICIOS_12x36+'POSTO 12x36 HORAS'!MOD_3_PROVISAO_RESCISAO_12x36+'POSTO 12x36 HORAS'!MOD_4_CUSTO_REPOSICAO_12x36+'POSTO 12x36 HORAS'!MOD_5_INSUMOS_12x36+'POSTO 12x36 HORAS'!AL_6_A_CUSTOS_INDIRETOS_12x36+'POSTO 12x36 HORAS'!AL_6_B_LUCRO_12x36)*PERC_PIS%)/(1-'POSTO 12x36 HORAS'!PERC_TRIBUTOS%)</f>
        <v>47.571942000121382</v>
      </c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</row>
    <row r="99" spans="1:26" ht="16.5" customHeight="1" x14ac:dyDescent="0.4">
      <c r="A99" s="1"/>
      <c r="B99" s="51" t="s">
        <v>90</v>
      </c>
      <c r="C99" s="118" t="s">
        <v>91</v>
      </c>
      <c r="D99" s="107"/>
      <c r="E99" s="54">
        <f>PERC_COFINS</f>
        <v>3</v>
      </c>
      <c r="F99" s="55">
        <f>((MOD_1_REMUNERACAO_12X36+'POSTO 12x36 HORAS'!MOD_2_ENCARGOS_BENEFICIOS_12x36+'POSTO 12x36 HORAS'!MOD_3_PROVISAO_RESCISAO_12x36+'POSTO 12x36 HORAS'!MOD_4_CUSTO_REPOSICAO_12x36+'POSTO 12x36 HORAS'!MOD_5_INSUMOS_12x36+'POSTO 12x36 HORAS'!AL_6_A_CUSTOS_INDIRETOS_12x36+'POSTO 12x36 HORAS'!AL_6_B_LUCRO_12x36)*PERC_COFINS%)/(1-'POSTO 12x36 HORAS'!PERC_TRIBUTOS%)</f>
        <v>219.56280923132942</v>
      </c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</row>
    <row r="100" spans="1:26" ht="16.5" customHeight="1" x14ac:dyDescent="0.4">
      <c r="A100" s="56"/>
      <c r="B100" s="51" t="s">
        <v>92</v>
      </c>
      <c r="C100" s="117" t="s">
        <v>93</v>
      </c>
      <c r="D100" s="107"/>
      <c r="E100" s="52">
        <f>PERC_ISS</f>
        <v>5</v>
      </c>
      <c r="F100" s="53">
        <f>((MOD_1_REMUNERACAO_12X36+'POSTO 12x36 HORAS'!MOD_2_ENCARGOS_BENEFICIOS_12x36+'POSTO 12x36 HORAS'!MOD_3_PROVISAO_RESCISAO_12x36+'POSTO 12x36 HORAS'!MOD_4_CUSTO_REPOSICAO_12x36+'POSTO 12x36 HORAS'!MOD_5_INSUMOS_12x36+'POSTO 12x36 HORAS'!AL_6_A_CUSTOS_INDIRETOS_12x36+'POSTO 12x36 HORAS'!AL_6_B_LUCRO_12x36)*PERC_ISS%)/(1-'POSTO 12x36 HORAS'!PERC_TRIBUTOS%)</f>
        <v>365.93801538554908</v>
      </c>
      <c r="G100" s="56"/>
      <c r="H100" s="56"/>
      <c r="I100" s="56"/>
      <c r="J100" s="56"/>
      <c r="K100" s="56"/>
      <c r="L100" s="56"/>
      <c r="M100" s="56"/>
      <c r="N100" s="56"/>
      <c r="O100" s="56"/>
      <c r="P100" s="56"/>
      <c r="Q100" s="56"/>
      <c r="R100" s="56"/>
      <c r="S100" s="56"/>
      <c r="T100" s="56"/>
      <c r="U100" s="56"/>
      <c r="V100" s="56"/>
      <c r="W100" s="56"/>
      <c r="X100" s="56"/>
      <c r="Y100" s="56"/>
      <c r="Z100" s="56"/>
    </row>
    <row r="101" spans="1:26" ht="16.5" customHeight="1" x14ac:dyDescent="0.4">
      <c r="A101" s="56"/>
      <c r="B101" s="108" t="s">
        <v>150</v>
      </c>
      <c r="C101" s="109"/>
      <c r="D101" s="109"/>
      <c r="E101" s="107"/>
      <c r="F101" s="57">
        <f>'POSTO 12x36 HORAS'!AL_6_A_CUSTOS_INDIRETOS_12x36+'POSTO 12x36 HORAS'!AL_6_B_LUCRO_12x36+'POSTO 12x36 HORAS'!AL_6_C_TRIBUTOS_12x36</f>
        <v>1271.8371374115445</v>
      </c>
      <c r="G101" s="56"/>
      <c r="H101" s="56"/>
      <c r="I101" s="56"/>
      <c r="J101" s="56"/>
      <c r="K101" s="56"/>
      <c r="L101" s="56"/>
      <c r="M101" s="56"/>
      <c r="N101" s="56"/>
      <c r="O101" s="56"/>
      <c r="P101" s="56"/>
      <c r="Q101" s="56"/>
      <c r="R101" s="56"/>
      <c r="S101" s="56"/>
      <c r="T101" s="56"/>
      <c r="U101" s="56"/>
      <c r="V101" s="56"/>
      <c r="W101" s="56"/>
      <c r="X101" s="56"/>
      <c r="Y101" s="56"/>
      <c r="Z101" s="56"/>
    </row>
    <row r="102" spans="1:26" ht="16.5" customHeight="1" x14ac:dyDescent="0.4">
      <c r="A102" s="56"/>
      <c r="B102" s="58" t="s">
        <v>189</v>
      </c>
      <c r="C102" s="59"/>
      <c r="D102" s="59"/>
      <c r="E102" s="59"/>
      <c r="F102" s="60"/>
      <c r="G102" s="56"/>
      <c r="H102" s="56"/>
      <c r="I102" s="56"/>
      <c r="J102" s="56"/>
      <c r="K102" s="56"/>
      <c r="L102" s="56"/>
      <c r="M102" s="56"/>
      <c r="N102" s="56"/>
      <c r="O102" s="56"/>
      <c r="P102" s="56"/>
      <c r="Q102" s="56"/>
      <c r="R102" s="56"/>
      <c r="S102" s="56"/>
      <c r="T102" s="56"/>
      <c r="U102" s="56"/>
      <c r="V102" s="56"/>
      <c r="W102" s="56"/>
      <c r="X102" s="56"/>
      <c r="Y102" s="56"/>
      <c r="Z102" s="56"/>
    </row>
    <row r="103" spans="1:26" ht="16.5" customHeight="1" x14ac:dyDescent="0.4">
      <c r="A103" s="61"/>
      <c r="B103" s="24" t="s">
        <v>190</v>
      </c>
      <c r="C103" s="110" t="s">
        <v>191</v>
      </c>
      <c r="D103" s="109"/>
      <c r="E103" s="107"/>
      <c r="F103" s="24" t="s">
        <v>192</v>
      </c>
      <c r="G103" s="61"/>
      <c r="H103" s="61"/>
      <c r="I103" s="61"/>
      <c r="J103" s="61"/>
      <c r="K103" s="61"/>
      <c r="L103" s="61"/>
      <c r="M103" s="61"/>
      <c r="N103" s="61"/>
      <c r="O103" s="61"/>
      <c r="P103" s="61"/>
      <c r="Q103" s="61"/>
      <c r="R103" s="61"/>
      <c r="S103" s="61"/>
      <c r="T103" s="61"/>
      <c r="U103" s="61"/>
      <c r="V103" s="61"/>
      <c r="W103" s="61"/>
      <c r="X103" s="61"/>
      <c r="Y103" s="61"/>
      <c r="Z103" s="61"/>
    </row>
    <row r="104" spans="1:26" ht="16.5" customHeight="1" x14ac:dyDescent="0.4">
      <c r="A104" s="56"/>
      <c r="B104" s="9">
        <v>1</v>
      </c>
      <c r="C104" s="111" t="s">
        <v>35</v>
      </c>
      <c r="D104" s="109"/>
      <c r="E104" s="107"/>
      <c r="F104" s="33">
        <f>MOD_1_REMUNERACAO_12X36</f>
        <v>2749.17</v>
      </c>
      <c r="G104" s="56"/>
      <c r="H104" s="56"/>
      <c r="I104" s="56"/>
      <c r="J104" s="56"/>
      <c r="K104" s="56"/>
      <c r="L104" s="56"/>
      <c r="M104" s="56"/>
      <c r="N104" s="56"/>
      <c r="O104" s="56"/>
      <c r="P104" s="56"/>
      <c r="Q104" s="56"/>
      <c r="R104" s="56"/>
      <c r="S104" s="56"/>
      <c r="T104" s="56"/>
      <c r="U104" s="56"/>
      <c r="V104" s="56"/>
      <c r="W104" s="56"/>
      <c r="X104" s="56"/>
      <c r="Y104" s="56"/>
      <c r="Z104" s="56"/>
    </row>
    <row r="105" spans="1:26" ht="16.5" customHeight="1" x14ac:dyDescent="0.4">
      <c r="A105" s="62"/>
      <c r="B105" s="24">
        <v>2</v>
      </c>
      <c r="C105" s="106" t="s">
        <v>193</v>
      </c>
      <c r="D105" s="109"/>
      <c r="E105" s="107"/>
      <c r="F105" s="35">
        <f>'POSTO 12x36 HORAS'!MOD_2_ENCARGOS_BENEFICIOS_12x36</f>
        <v>2299.4322999999999</v>
      </c>
      <c r="G105" s="62"/>
      <c r="H105" s="62"/>
      <c r="I105" s="62"/>
      <c r="J105" s="62"/>
      <c r="K105" s="62"/>
      <c r="L105" s="62"/>
      <c r="M105" s="62"/>
      <c r="N105" s="62"/>
      <c r="O105" s="62"/>
      <c r="P105" s="62"/>
      <c r="Q105" s="62"/>
      <c r="R105" s="62"/>
      <c r="S105" s="62"/>
      <c r="T105" s="62"/>
      <c r="U105" s="62"/>
      <c r="V105" s="62"/>
      <c r="W105" s="62"/>
      <c r="X105" s="62"/>
      <c r="Y105" s="62"/>
      <c r="Z105" s="62"/>
    </row>
    <row r="106" spans="1:26" ht="16.5" customHeight="1" x14ac:dyDescent="0.4">
      <c r="A106" s="62"/>
      <c r="B106" s="24">
        <v>3</v>
      </c>
      <c r="C106" s="111" t="s">
        <v>115</v>
      </c>
      <c r="D106" s="109"/>
      <c r="E106" s="107"/>
      <c r="F106" s="33">
        <f>'POSTO 12x36 HORAS'!MOD_3_PROVISAO_RESCISAO_12x36</f>
        <v>120.46867824104146</v>
      </c>
      <c r="G106" s="62"/>
      <c r="H106" s="62"/>
      <c r="I106" s="62"/>
      <c r="J106" s="62"/>
      <c r="K106" s="62"/>
      <c r="L106" s="62"/>
      <c r="M106" s="62"/>
      <c r="N106" s="62"/>
      <c r="O106" s="62"/>
      <c r="P106" s="62"/>
      <c r="Q106" s="62"/>
      <c r="R106" s="62"/>
      <c r="S106" s="62"/>
      <c r="T106" s="62"/>
      <c r="U106" s="62"/>
      <c r="V106" s="62"/>
      <c r="W106" s="62"/>
      <c r="X106" s="62"/>
      <c r="Y106" s="62"/>
      <c r="Z106" s="62"/>
    </row>
    <row r="107" spans="1:26" ht="16.5" customHeight="1" x14ac:dyDescent="0.4">
      <c r="A107" s="62"/>
      <c r="B107" s="24">
        <v>4</v>
      </c>
      <c r="C107" s="106" t="s">
        <v>194</v>
      </c>
      <c r="D107" s="109"/>
      <c r="E107" s="107"/>
      <c r="F107" s="35">
        <f>'POSTO 12x36 HORAS'!MOD_4_CUSTO_REPOSICAO_12x36</f>
        <v>535.99219205839483</v>
      </c>
      <c r="G107" s="62"/>
      <c r="H107" s="62"/>
      <c r="I107" s="62"/>
      <c r="J107" s="62"/>
      <c r="K107" s="62"/>
      <c r="L107" s="62"/>
      <c r="M107" s="62"/>
      <c r="N107" s="62"/>
      <c r="O107" s="62"/>
      <c r="P107" s="62"/>
      <c r="Q107" s="62"/>
      <c r="R107" s="62"/>
      <c r="S107" s="62"/>
      <c r="T107" s="62"/>
      <c r="U107" s="62"/>
      <c r="V107" s="62"/>
      <c r="W107" s="62"/>
      <c r="X107" s="62"/>
      <c r="Y107" s="62"/>
      <c r="Z107" s="62"/>
    </row>
    <row r="108" spans="1:26" ht="16.5" customHeight="1" x14ac:dyDescent="0.4">
      <c r="A108" s="62"/>
      <c r="B108" s="24">
        <v>5</v>
      </c>
      <c r="C108" s="111" t="s">
        <v>79</v>
      </c>
      <c r="D108" s="109"/>
      <c r="E108" s="107"/>
      <c r="F108" s="33">
        <f>'POSTO 12x36 HORAS'!MOD_5_INSUMOS_12x36</f>
        <v>341.86</v>
      </c>
      <c r="G108" s="62"/>
      <c r="H108" s="62"/>
      <c r="I108" s="62"/>
      <c r="J108" s="62"/>
      <c r="K108" s="62"/>
      <c r="L108" s="62"/>
      <c r="M108" s="62"/>
      <c r="N108" s="62"/>
      <c r="O108" s="62"/>
      <c r="P108" s="62"/>
      <c r="Q108" s="62"/>
      <c r="R108" s="62"/>
      <c r="S108" s="62"/>
      <c r="T108" s="62"/>
      <c r="U108" s="62"/>
      <c r="V108" s="62"/>
      <c r="W108" s="62"/>
      <c r="X108" s="62"/>
      <c r="Y108" s="62"/>
      <c r="Z108" s="62"/>
    </row>
    <row r="109" spans="1:26" ht="16.5" customHeight="1" x14ac:dyDescent="0.4">
      <c r="A109" s="62"/>
      <c r="B109" s="24">
        <v>6</v>
      </c>
      <c r="C109" s="106" t="s">
        <v>85</v>
      </c>
      <c r="D109" s="109"/>
      <c r="E109" s="107"/>
      <c r="F109" s="35">
        <f>'POSTO 12x36 HORAS'!MOD_6_CUSTOS_IND_LUCRO_TRIB_12x36</f>
        <v>1271.8371374115445</v>
      </c>
      <c r="G109" s="62"/>
      <c r="H109" s="62"/>
      <c r="I109" s="62"/>
      <c r="J109" s="62"/>
      <c r="K109" s="62"/>
      <c r="L109" s="62"/>
      <c r="M109" s="62"/>
      <c r="N109" s="62"/>
      <c r="O109" s="62"/>
      <c r="P109" s="62"/>
      <c r="Q109" s="62"/>
      <c r="R109" s="62"/>
      <c r="S109" s="62"/>
      <c r="T109" s="62"/>
      <c r="U109" s="62"/>
      <c r="V109" s="62"/>
      <c r="W109" s="62"/>
      <c r="X109" s="62"/>
      <c r="Y109" s="62"/>
      <c r="Z109" s="62"/>
    </row>
    <row r="110" spans="1:26" ht="16.5" customHeight="1" x14ac:dyDescent="0.4">
      <c r="A110" s="1"/>
      <c r="B110" s="110" t="s">
        <v>195</v>
      </c>
      <c r="C110" s="109"/>
      <c r="D110" s="109"/>
      <c r="E110" s="107"/>
      <c r="F110" s="57">
        <f>SUM(F104:F109)</f>
        <v>7318.7603077109816</v>
      </c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</row>
    <row r="111" spans="1:26" ht="16.5" customHeight="1" x14ac:dyDescent="0.4">
      <c r="A111" s="1"/>
      <c r="B111" s="110" t="s">
        <v>196</v>
      </c>
      <c r="C111" s="109"/>
      <c r="D111" s="109"/>
      <c r="E111" s="107"/>
      <c r="F111" s="57">
        <f>'POSTO 12x36 HORAS'!VALOR_TOTAL_EMPREGADO_12x36*EMPREG_POR_POSTO</f>
        <v>7318.7603077109816</v>
      </c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</row>
    <row r="112" spans="1:26" ht="16.5" customHeight="1" x14ac:dyDescent="0.4">
      <c r="A112" s="1"/>
      <c r="B112" s="110" t="s">
        <v>197</v>
      </c>
      <c r="C112" s="109"/>
      <c r="D112" s="109"/>
      <c r="E112" s="107"/>
      <c r="F112" s="57">
        <f>'POSTO 12x36 HORAS'!VALOR_TOTAL_EMPREGADO_12x36*EMPREG_POR_POSTO*'POSTO 12x36 HORAS'!QTDE_POSTOS</f>
        <v>7318.7603077109816</v>
      </c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</row>
    <row r="113" spans="1:26" ht="16.5" customHeight="1" x14ac:dyDescent="0.4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</row>
    <row r="114" spans="1:26" ht="16.5" customHeight="1" x14ac:dyDescent="0.4">
      <c r="A114" s="1"/>
      <c r="B114" s="1" t="s">
        <v>173</v>
      </c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</row>
    <row r="115" spans="1:26" ht="16.5" customHeight="1" x14ac:dyDescent="0.4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</row>
    <row r="116" spans="1:26" ht="16.5" customHeight="1" x14ac:dyDescent="0.4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</row>
    <row r="117" spans="1:26" ht="16.5" customHeight="1" x14ac:dyDescent="0.4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</row>
    <row r="118" spans="1:26" ht="16.5" customHeight="1" x14ac:dyDescent="0.4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</row>
    <row r="119" spans="1:26" ht="16.5" customHeight="1" x14ac:dyDescent="0.4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</row>
    <row r="120" spans="1:26" ht="16.5" customHeight="1" x14ac:dyDescent="0.4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</row>
    <row r="121" spans="1:26" ht="16.5" customHeight="1" x14ac:dyDescent="0.4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</row>
    <row r="122" spans="1:26" ht="16.5" customHeight="1" x14ac:dyDescent="0.4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</row>
    <row r="123" spans="1:26" ht="16.5" customHeight="1" x14ac:dyDescent="0.4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</row>
    <row r="124" spans="1:26" ht="16.5" customHeight="1" x14ac:dyDescent="0.4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</row>
    <row r="125" spans="1:26" ht="16.5" customHeight="1" x14ac:dyDescent="0.4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</row>
    <row r="126" spans="1:26" ht="16.5" customHeight="1" x14ac:dyDescent="0.4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</row>
    <row r="127" spans="1:26" ht="16.5" customHeight="1" x14ac:dyDescent="0.4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</row>
    <row r="128" spans="1:26" ht="16.5" customHeight="1" x14ac:dyDescent="0.4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</row>
    <row r="129" spans="1:26" ht="16.5" customHeight="1" x14ac:dyDescent="0.4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</row>
    <row r="130" spans="1:26" ht="16.5" customHeight="1" x14ac:dyDescent="0.4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</row>
    <row r="131" spans="1:26" ht="16.5" customHeight="1" x14ac:dyDescent="0.4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</row>
    <row r="132" spans="1:26" ht="16.5" customHeight="1" x14ac:dyDescent="0.4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</row>
    <row r="133" spans="1:26" ht="16.5" customHeight="1" x14ac:dyDescent="0.4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</row>
    <row r="134" spans="1:26" ht="16.5" customHeight="1" x14ac:dyDescent="0.4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</row>
    <row r="135" spans="1:26" ht="16.5" customHeight="1" x14ac:dyDescent="0.4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</row>
    <row r="136" spans="1:26" ht="16.5" customHeight="1" x14ac:dyDescent="0.4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</row>
    <row r="137" spans="1:26" ht="16.5" customHeight="1" x14ac:dyDescent="0.4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</row>
    <row r="138" spans="1:26" ht="16.5" customHeight="1" x14ac:dyDescent="0.4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</row>
    <row r="139" spans="1:26" ht="16.5" customHeight="1" x14ac:dyDescent="0.4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</row>
    <row r="140" spans="1:26" ht="16.5" customHeight="1" x14ac:dyDescent="0.4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</row>
    <row r="141" spans="1:26" ht="16.5" customHeight="1" x14ac:dyDescent="0.4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</row>
    <row r="142" spans="1:26" ht="16.5" customHeight="1" x14ac:dyDescent="0.4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</row>
    <row r="143" spans="1:26" ht="16.5" customHeight="1" x14ac:dyDescent="0.4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</row>
    <row r="144" spans="1:26" ht="16.5" customHeight="1" x14ac:dyDescent="0.4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</row>
    <row r="145" spans="1:26" ht="16.5" customHeight="1" x14ac:dyDescent="0.4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</row>
    <row r="146" spans="1:26" ht="16.5" customHeight="1" x14ac:dyDescent="0.4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</row>
    <row r="147" spans="1:26" ht="16.5" customHeight="1" x14ac:dyDescent="0.4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</row>
    <row r="148" spans="1:26" ht="16.5" customHeight="1" x14ac:dyDescent="0.4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</row>
    <row r="149" spans="1:26" ht="16.5" customHeight="1" x14ac:dyDescent="0.4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</row>
    <row r="150" spans="1:26" ht="16.5" customHeight="1" x14ac:dyDescent="0.4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</row>
    <row r="151" spans="1:26" ht="16.5" customHeight="1" x14ac:dyDescent="0.4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</row>
    <row r="152" spans="1:26" ht="16.5" customHeight="1" x14ac:dyDescent="0.4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</row>
    <row r="153" spans="1:26" ht="16.5" customHeight="1" x14ac:dyDescent="0.4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</row>
    <row r="154" spans="1:26" ht="16.5" customHeight="1" x14ac:dyDescent="0.4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</row>
    <row r="155" spans="1:26" ht="16.5" customHeight="1" x14ac:dyDescent="0.4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</row>
    <row r="156" spans="1:26" ht="16.5" customHeight="1" x14ac:dyDescent="0.4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</row>
    <row r="157" spans="1:26" ht="16.5" customHeight="1" x14ac:dyDescent="0.4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</row>
    <row r="158" spans="1:26" ht="16.5" customHeight="1" x14ac:dyDescent="0.4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</row>
    <row r="159" spans="1:26" ht="16.5" customHeight="1" x14ac:dyDescent="0.4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</row>
    <row r="160" spans="1:26" ht="16.5" customHeight="1" x14ac:dyDescent="0.4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</row>
    <row r="161" spans="1:26" ht="16.5" customHeight="1" x14ac:dyDescent="0.4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</row>
    <row r="162" spans="1:26" ht="16.5" customHeight="1" x14ac:dyDescent="0.4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</row>
    <row r="163" spans="1:26" ht="16.5" customHeight="1" x14ac:dyDescent="0.4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</row>
    <row r="164" spans="1:26" ht="16.5" customHeight="1" x14ac:dyDescent="0.4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</row>
    <row r="165" spans="1:26" ht="16.5" customHeight="1" x14ac:dyDescent="0.4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</row>
    <row r="166" spans="1:26" ht="16.5" customHeight="1" x14ac:dyDescent="0.4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</row>
    <row r="167" spans="1:26" ht="16.5" customHeight="1" x14ac:dyDescent="0.4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</row>
    <row r="168" spans="1:26" ht="16.5" customHeight="1" x14ac:dyDescent="0.4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</row>
    <row r="169" spans="1:26" ht="16.5" customHeight="1" x14ac:dyDescent="0.4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</row>
    <row r="170" spans="1:26" ht="16.5" customHeight="1" x14ac:dyDescent="0.4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</row>
    <row r="171" spans="1:26" ht="16.5" customHeight="1" x14ac:dyDescent="0.4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</row>
    <row r="172" spans="1:26" ht="16.5" customHeight="1" x14ac:dyDescent="0.4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</row>
    <row r="173" spans="1:26" ht="16.5" customHeight="1" x14ac:dyDescent="0.4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</row>
    <row r="174" spans="1:26" ht="16.5" customHeight="1" x14ac:dyDescent="0.4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</row>
    <row r="175" spans="1:26" ht="16.5" customHeight="1" x14ac:dyDescent="0.4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</row>
    <row r="176" spans="1:26" ht="16.5" customHeight="1" x14ac:dyDescent="0.4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</row>
    <row r="177" spans="1:26" ht="16.5" customHeight="1" x14ac:dyDescent="0.4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</row>
    <row r="178" spans="1:26" ht="16.5" customHeight="1" x14ac:dyDescent="0.4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</row>
    <row r="179" spans="1:26" ht="16.5" customHeight="1" x14ac:dyDescent="0.4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</row>
    <row r="180" spans="1:26" ht="16.5" customHeight="1" x14ac:dyDescent="0.4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</row>
    <row r="181" spans="1:26" ht="16.5" customHeight="1" x14ac:dyDescent="0.4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</row>
    <row r="182" spans="1:26" ht="16.5" customHeight="1" x14ac:dyDescent="0.4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</row>
    <row r="183" spans="1:26" ht="16.5" customHeight="1" x14ac:dyDescent="0.4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</row>
    <row r="184" spans="1:26" ht="16.5" customHeight="1" x14ac:dyDescent="0.4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</row>
    <row r="185" spans="1:26" ht="16.5" customHeight="1" x14ac:dyDescent="0.4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</row>
    <row r="186" spans="1:26" ht="16.5" customHeight="1" x14ac:dyDescent="0.4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</row>
    <row r="187" spans="1:26" ht="16.5" customHeight="1" x14ac:dyDescent="0.4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</row>
    <row r="188" spans="1:26" ht="16.5" customHeight="1" x14ac:dyDescent="0.4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</row>
    <row r="189" spans="1:26" ht="16.5" customHeight="1" x14ac:dyDescent="0.4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</row>
    <row r="190" spans="1:26" ht="16.5" customHeight="1" x14ac:dyDescent="0.4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</row>
    <row r="191" spans="1:26" ht="16.5" customHeight="1" x14ac:dyDescent="0.4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</row>
    <row r="192" spans="1:26" ht="16.5" customHeight="1" x14ac:dyDescent="0.4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</row>
    <row r="193" spans="1:26" ht="16.5" customHeight="1" x14ac:dyDescent="0.4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</row>
    <row r="194" spans="1:26" ht="16.5" customHeight="1" x14ac:dyDescent="0.4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</row>
    <row r="195" spans="1:26" ht="16.5" customHeight="1" x14ac:dyDescent="0.4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</row>
    <row r="196" spans="1:26" ht="16.5" customHeight="1" x14ac:dyDescent="0.4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</row>
    <row r="197" spans="1:26" ht="16.5" customHeight="1" x14ac:dyDescent="0.4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</row>
    <row r="198" spans="1:26" ht="16.5" customHeight="1" x14ac:dyDescent="0.4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</row>
    <row r="199" spans="1:26" ht="16.5" customHeight="1" x14ac:dyDescent="0.4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</row>
    <row r="200" spans="1:26" ht="16.5" customHeight="1" x14ac:dyDescent="0.4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</row>
    <row r="201" spans="1:26" ht="16.5" customHeight="1" x14ac:dyDescent="0.4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</row>
    <row r="202" spans="1:26" ht="16.5" customHeight="1" x14ac:dyDescent="0.4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</row>
    <row r="203" spans="1:26" ht="16.5" customHeight="1" x14ac:dyDescent="0.4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</row>
    <row r="204" spans="1:26" ht="16.5" customHeight="1" x14ac:dyDescent="0.4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</row>
    <row r="205" spans="1:26" ht="16.5" customHeight="1" x14ac:dyDescent="0.4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</row>
    <row r="206" spans="1:26" ht="16.5" customHeight="1" x14ac:dyDescent="0.4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</row>
    <row r="207" spans="1:26" ht="16.5" customHeight="1" x14ac:dyDescent="0.4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</row>
    <row r="208" spans="1:26" ht="16.5" customHeight="1" x14ac:dyDescent="0.4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</row>
    <row r="209" spans="1:26" ht="16.5" customHeight="1" x14ac:dyDescent="0.4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</row>
    <row r="210" spans="1:26" ht="16.5" customHeight="1" x14ac:dyDescent="0.4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</row>
    <row r="211" spans="1:26" ht="16.5" customHeight="1" x14ac:dyDescent="0.4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</row>
    <row r="212" spans="1:26" ht="16.5" customHeight="1" x14ac:dyDescent="0.4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</row>
    <row r="213" spans="1:26" ht="16.5" customHeight="1" x14ac:dyDescent="0.4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</row>
    <row r="214" spans="1:26" ht="16.5" customHeight="1" x14ac:dyDescent="0.4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</row>
    <row r="215" spans="1:26" ht="16.5" customHeight="1" x14ac:dyDescent="0.4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</row>
    <row r="216" spans="1:26" ht="16.5" customHeight="1" x14ac:dyDescent="0.4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</row>
    <row r="217" spans="1:26" ht="16.5" customHeight="1" x14ac:dyDescent="0.4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</row>
    <row r="218" spans="1:26" ht="16.5" customHeight="1" x14ac:dyDescent="0.4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</row>
    <row r="219" spans="1:26" ht="16.5" customHeight="1" x14ac:dyDescent="0.4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</row>
    <row r="220" spans="1:26" ht="16.5" customHeight="1" x14ac:dyDescent="0.4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</row>
    <row r="221" spans="1:26" ht="16.5" customHeight="1" x14ac:dyDescent="0.4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</row>
    <row r="222" spans="1:26" ht="16.5" customHeight="1" x14ac:dyDescent="0.4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</row>
    <row r="223" spans="1:26" ht="16.5" customHeight="1" x14ac:dyDescent="0.4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</row>
    <row r="224" spans="1:26" ht="16.5" customHeight="1" x14ac:dyDescent="0.4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</row>
    <row r="225" spans="1:26" ht="16.5" customHeight="1" x14ac:dyDescent="0.4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</row>
    <row r="226" spans="1:26" ht="16.5" customHeight="1" x14ac:dyDescent="0.4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</row>
    <row r="227" spans="1:26" ht="16.5" customHeight="1" x14ac:dyDescent="0.4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</row>
    <row r="228" spans="1:26" ht="16.5" customHeight="1" x14ac:dyDescent="0.4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</row>
    <row r="229" spans="1:26" ht="16.5" customHeight="1" x14ac:dyDescent="0.4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</row>
    <row r="230" spans="1:26" ht="16.5" customHeight="1" x14ac:dyDescent="0.4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</row>
    <row r="231" spans="1:26" ht="16.5" customHeight="1" x14ac:dyDescent="0.4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</row>
    <row r="232" spans="1:26" ht="16.5" customHeight="1" x14ac:dyDescent="0.4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</row>
    <row r="233" spans="1:26" ht="16.5" customHeight="1" x14ac:dyDescent="0.4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</row>
    <row r="234" spans="1:26" ht="16.5" customHeight="1" x14ac:dyDescent="0.4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</row>
    <row r="235" spans="1:26" ht="16.5" customHeight="1" x14ac:dyDescent="0.4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</row>
    <row r="236" spans="1:26" ht="16.5" customHeight="1" x14ac:dyDescent="0.4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</row>
    <row r="237" spans="1:26" ht="16.5" customHeight="1" x14ac:dyDescent="0.4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</row>
    <row r="238" spans="1:26" ht="16.5" customHeight="1" x14ac:dyDescent="0.4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</row>
    <row r="239" spans="1:26" ht="16.5" customHeight="1" x14ac:dyDescent="0.4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</row>
    <row r="240" spans="1:26" ht="16.5" customHeight="1" x14ac:dyDescent="0.4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</row>
    <row r="241" spans="1:26" ht="16.5" customHeight="1" x14ac:dyDescent="0.4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</row>
    <row r="242" spans="1:26" ht="16.5" customHeight="1" x14ac:dyDescent="0.4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</row>
    <row r="243" spans="1:26" ht="16.5" customHeight="1" x14ac:dyDescent="0.4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</row>
    <row r="244" spans="1:26" ht="16.5" customHeight="1" x14ac:dyDescent="0.4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</row>
    <row r="245" spans="1:26" ht="16.5" customHeight="1" x14ac:dyDescent="0.4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</row>
    <row r="246" spans="1:26" ht="16.5" customHeight="1" x14ac:dyDescent="0.4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</row>
    <row r="247" spans="1:26" ht="16.5" customHeight="1" x14ac:dyDescent="0.4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</row>
    <row r="248" spans="1:26" ht="16.5" customHeight="1" x14ac:dyDescent="0.4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</row>
    <row r="249" spans="1:26" ht="16.5" customHeight="1" x14ac:dyDescent="0.4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</row>
    <row r="250" spans="1:26" ht="16.5" customHeight="1" x14ac:dyDescent="0.4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</row>
    <row r="251" spans="1:26" ht="16.5" customHeight="1" x14ac:dyDescent="0.4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</row>
    <row r="252" spans="1:26" ht="16.5" customHeight="1" x14ac:dyDescent="0.4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</row>
    <row r="253" spans="1:26" ht="16.5" customHeight="1" x14ac:dyDescent="0.4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</row>
    <row r="254" spans="1:26" ht="16.5" customHeight="1" x14ac:dyDescent="0.4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</row>
    <row r="255" spans="1:26" ht="16.5" customHeight="1" x14ac:dyDescent="0.4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</row>
    <row r="256" spans="1:26" ht="16.5" customHeight="1" x14ac:dyDescent="0.4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</row>
    <row r="257" spans="1:26" ht="16.5" customHeight="1" x14ac:dyDescent="0.4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</row>
    <row r="258" spans="1:26" ht="16.5" customHeight="1" x14ac:dyDescent="0.4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</row>
    <row r="259" spans="1:26" ht="16.5" customHeight="1" x14ac:dyDescent="0.4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</row>
    <row r="260" spans="1:26" ht="16.5" customHeight="1" x14ac:dyDescent="0.4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</row>
    <row r="261" spans="1:26" ht="16.5" customHeight="1" x14ac:dyDescent="0.4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</row>
    <row r="262" spans="1:26" ht="16.5" customHeight="1" x14ac:dyDescent="0.4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</row>
    <row r="263" spans="1:26" ht="16.5" customHeight="1" x14ac:dyDescent="0.4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</row>
    <row r="264" spans="1:26" ht="16.5" customHeight="1" x14ac:dyDescent="0.4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</row>
    <row r="265" spans="1:26" ht="16.5" customHeight="1" x14ac:dyDescent="0.4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</row>
    <row r="266" spans="1:26" ht="16.5" customHeight="1" x14ac:dyDescent="0.4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</row>
    <row r="267" spans="1:26" ht="16.5" customHeight="1" x14ac:dyDescent="0.4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</row>
    <row r="268" spans="1:26" ht="16.5" customHeight="1" x14ac:dyDescent="0.4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</row>
    <row r="269" spans="1:26" ht="16.5" customHeight="1" x14ac:dyDescent="0.4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</row>
    <row r="270" spans="1:26" ht="16.5" customHeight="1" x14ac:dyDescent="0.4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</row>
    <row r="271" spans="1:26" ht="16.5" customHeight="1" x14ac:dyDescent="0.4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</row>
    <row r="272" spans="1:26" ht="16.5" customHeight="1" x14ac:dyDescent="0.4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</row>
    <row r="273" spans="1:26" ht="16.5" customHeight="1" x14ac:dyDescent="0.4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</row>
    <row r="274" spans="1:26" ht="16.5" customHeight="1" x14ac:dyDescent="0.4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</row>
    <row r="275" spans="1:26" ht="16.5" customHeight="1" x14ac:dyDescent="0.4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</row>
    <row r="276" spans="1:26" ht="16.5" customHeight="1" x14ac:dyDescent="0.4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</row>
    <row r="277" spans="1:26" ht="16.5" customHeight="1" x14ac:dyDescent="0.4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</row>
    <row r="278" spans="1:26" ht="16.5" customHeight="1" x14ac:dyDescent="0.4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</row>
    <row r="279" spans="1:26" ht="16.5" customHeight="1" x14ac:dyDescent="0.4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</row>
    <row r="280" spans="1:26" ht="16.5" customHeight="1" x14ac:dyDescent="0.4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</row>
    <row r="281" spans="1:26" ht="16.5" customHeight="1" x14ac:dyDescent="0.4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</row>
    <row r="282" spans="1:26" ht="16.5" customHeight="1" x14ac:dyDescent="0.4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</row>
    <row r="283" spans="1:26" ht="16.5" customHeight="1" x14ac:dyDescent="0.4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</row>
    <row r="284" spans="1:26" ht="16.5" customHeight="1" x14ac:dyDescent="0.4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</row>
    <row r="285" spans="1:26" ht="16.5" customHeight="1" x14ac:dyDescent="0.4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</row>
    <row r="286" spans="1:26" ht="16.5" customHeight="1" x14ac:dyDescent="0.4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</row>
    <row r="287" spans="1:26" ht="16.5" customHeight="1" x14ac:dyDescent="0.4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</row>
    <row r="288" spans="1:26" ht="16.5" customHeight="1" x14ac:dyDescent="0.4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</row>
    <row r="289" spans="1:26" ht="16.5" customHeight="1" x14ac:dyDescent="0.4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</row>
    <row r="290" spans="1:26" ht="16.5" customHeight="1" x14ac:dyDescent="0.4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</row>
    <row r="291" spans="1:26" ht="16.5" customHeight="1" x14ac:dyDescent="0.4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</row>
    <row r="292" spans="1:26" ht="16.5" customHeight="1" x14ac:dyDescent="0.4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</row>
    <row r="293" spans="1:26" ht="16.5" customHeight="1" x14ac:dyDescent="0.4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</row>
    <row r="294" spans="1:26" ht="16.5" customHeight="1" x14ac:dyDescent="0.4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</row>
    <row r="295" spans="1:26" ht="16.5" customHeight="1" x14ac:dyDescent="0.4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</row>
    <row r="296" spans="1:26" ht="16.5" customHeight="1" x14ac:dyDescent="0.4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</row>
    <row r="297" spans="1:26" ht="16.5" customHeight="1" x14ac:dyDescent="0.4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</row>
    <row r="298" spans="1:26" ht="16.5" customHeight="1" x14ac:dyDescent="0.4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</row>
    <row r="299" spans="1:26" ht="16.5" customHeight="1" x14ac:dyDescent="0.4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</row>
    <row r="300" spans="1:26" ht="16.5" customHeight="1" x14ac:dyDescent="0.4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</row>
    <row r="301" spans="1:26" ht="16.5" customHeight="1" x14ac:dyDescent="0.4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</row>
    <row r="302" spans="1:26" ht="16.5" customHeight="1" x14ac:dyDescent="0.4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</row>
    <row r="303" spans="1:26" ht="16.5" customHeight="1" x14ac:dyDescent="0.4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</row>
    <row r="304" spans="1:26" ht="16.5" customHeight="1" x14ac:dyDescent="0.4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</row>
    <row r="305" spans="1:26" ht="16.5" customHeight="1" x14ac:dyDescent="0.4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</row>
    <row r="306" spans="1:26" ht="16.5" customHeight="1" x14ac:dyDescent="0.4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</row>
    <row r="307" spans="1:26" ht="16.5" customHeight="1" x14ac:dyDescent="0.4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</row>
    <row r="308" spans="1:26" ht="16.5" customHeight="1" x14ac:dyDescent="0.4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</row>
    <row r="309" spans="1:26" ht="16.5" customHeight="1" x14ac:dyDescent="0.4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</row>
    <row r="310" spans="1:26" ht="16.5" customHeight="1" x14ac:dyDescent="0.4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</row>
    <row r="311" spans="1:26" ht="16.5" customHeight="1" x14ac:dyDescent="0.4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</row>
    <row r="312" spans="1:26" ht="16.5" customHeight="1" x14ac:dyDescent="0.4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</row>
    <row r="313" spans="1:26" ht="16.5" customHeight="1" x14ac:dyDescent="0.4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</row>
    <row r="314" spans="1:26" ht="16.5" customHeight="1" x14ac:dyDescent="0.4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</row>
    <row r="315" spans="1:26" ht="16.5" customHeight="1" x14ac:dyDescent="0.4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</row>
    <row r="316" spans="1:26" ht="16.5" customHeight="1" x14ac:dyDescent="0.4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</row>
    <row r="317" spans="1:26" ht="16.5" customHeight="1" x14ac:dyDescent="0.4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</row>
    <row r="318" spans="1:26" ht="16.5" customHeight="1" x14ac:dyDescent="0.4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</row>
    <row r="319" spans="1:26" ht="16.5" customHeight="1" x14ac:dyDescent="0.4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</row>
    <row r="320" spans="1:26" ht="16.5" customHeight="1" x14ac:dyDescent="0.4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</row>
    <row r="321" spans="1:26" ht="16.5" customHeight="1" x14ac:dyDescent="0.4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</row>
    <row r="322" spans="1:26" ht="16.5" customHeight="1" x14ac:dyDescent="0.4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</row>
    <row r="323" spans="1:26" ht="16.5" customHeight="1" x14ac:dyDescent="0.4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</row>
    <row r="324" spans="1:26" ht="16.5" customHeight="1" x14ac:dyDescent="0.4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</row>
    <row r="325" spans="1:26" ht="16.5" customHeight="1" x14ac:dyDescent="0.4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</row>
    <row r="326" spans="1:26" ht="16.5" customHeight="1" x14ac:dyDescent="0.4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</row>
    <row r="327" spans="1:26" ht="16.5" customHeight="1" x14ac:dyDescent="0.4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</row>
    <row r="328" spans="1:26" ht="16.5" customHeight="1" x14ac:dyDescent="0.4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</row>
    <row r="329" spans="1:26" ht="16.5" customHeight="1" x14ac:dyDescent="0.4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</row>
    <row r="330" spans="1:26" ht="16.5" customHeight="1" x14ac:dyDescent="0.4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</row>
    <row r="331" spans="1:26" ht="16.5" customHeight="1" x14ac:dyDescent="0.4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</row>
    <row r="332" spans="1:26" ht="16.5" customHeight="1" x14ac:dyDescent="0.4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</row>
    <row r="333" spans="1:26" ht="16.5" customHeight="1" x14ac:dyDescent="0.4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</row>
    <row r="334" spans="1:26" ht="16.5" customHeight="1" x14ac:dyDescent="0.4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</row>
    <row r="335" spans="1:26" ht="16.5" customHeight="1" x14ac:dyDescent="0.4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</row>
    <row r="336" spans="1:26" ht="16.5" customHeight="1" x14ac:dyDescent="0.4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</row>
    <row r="337" spans="1:26" ht="16.5" customHeight="1" x14ac:dyDescent="0.4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</row>
    <row r="338" spans="1:26" ht="16.5" customHeight="1" x14ac:dyDescent="0.4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</row>
    <row r="339" spans="1:26" ht="16.5" customHeight="1" x14ac:dyDescent="0.4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</row>
    <row r="340" spans="1:26" ht="16.5" customHeight="1" x14ac:dyDescent="0.4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</row>
    <row r="341" spans="1:26" ht="16.5" customHeight="1" x14ac:dyDescent="0.4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</row>
    <row r="342" spans="1:26" ht="16.5" customHeight="1" x14ac:dyDescent="0.4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</row>
    <row r="343" spans="1:26" ht="16.5" customHeight="1" x14ac:dyDescent="0.4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</row>
    <row r="344" spans="1:26" ht="16.5" customHeight="1" x14ac:dyDescent="0.4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</row>
    <row r="345" spans="1:26" ht="16.5" customHeight="1" x14ac:dyDescent="0.4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</row>
    <row r="346" spans="1:26" ht="16.5" customHeight="1" x14ac:dyDescent="0.4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</row>
    <row r="347" spans="1:26" ht="16.5" customHeight="1" x14ac:dyDescent="0.4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</row>
    <row r="348" spans="1:26" ht="16.5" customHeight="1" x14ac:dyDescent="0.4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</row>
    <row r="349" spans="1:26" ht="16.5" customHeight="1" x14ac:dyDescent="0.4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</row>
    <row r="350" spans="1:26" ht="16.5" customHeight="1" x14ac:dyDescent="0.4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</row>
    <row r="351" spans="1:26" ht="16.5" customHeight="1" x14ac:dyDescent="0.4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</row>
    <row r="352" spans="1:26" ht="16.5" customHeight="1" x14ac:dyDescent="0.4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</row>
    <row r="353" spans="1:26" ht="16.5" customHeight="1" x14ac:dyDescent="0.4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</row>
    <row r="354" spans="1:26" ht="16.5" customHeight="1" x14ac:dyDescent="0.4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</row>
    <row r="355" spans="1:26" ht="16.5" customHeight="1" x14ac:dyDescent="0.4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</row>
    <row r="356" spans="1:26" ht="16.5" customHeight="1" x14ac:dyDescent="0.4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</row>
    <row r="357" spans="1:26" ht="16.5" customHeight="1" x14ac:dyDescent="0.4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</row>
    <row r="358" spans="1:26" ht="16.5" customHeight="1" x14ac:dyDescent="0.4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</row>
    <row r="359" spans="1:26" ht="16.5" customHeight="1" x14ac:dyDescent="0.4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</row>
    <row r="360" spans="1:26" ht="16.5" customHeight="1" x14ac:dyDescent="0.4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</row>
    <row r="361" spans="1:26" ht="16.5" customHeight="1" x14ac:dyDescent="0.4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</row>
    <row r="362" spans="1:26" ht="16.5" customHeight="1" x14ac:dyDescent="0.4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</row>
    <row r="363" spans="1:26" ht="16.5" customHeight="1" x14ac:dyDescent="0.4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</row>
    <row r="364" spans="1:26" ht="16.5" customHeight="1" x14ac:dyDescent="0.4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</row>
    <row r="365" spans="1:26" ht="16.5" customHeight="1" x14ac:dyDescent="0.4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</row>
    <row r="366" spans="1:26" ht="16.5" customHeight="1" x14ac:dyDescent="0.4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</row>
    <row r="367" spans="1:26" ht="16.5" customHeight="1" x14ac:dyDescent="0.4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</row>
    <row r="368" spans="1:26" ht="16.5" customHeight="1" x14ac:dyDescent="0.4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</row>
    <row r="369" spans="1:26" ht="16.5" customHeight="1" x14ac:dyDescent="0.4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</row>
    <row r="370" spans="1:26" ht="16.5" customHeight="1" x14ac:dyDescent="0.4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</row>
    <row r="371" spans="1:26" ht="16.5" customHeight="1" x14ac:dyDescent="0.4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</row>
    <row r="372" spans="1:26" ht="16.5" customHeight="1" x14ac:dyDescent="0.4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</row>
    <row r="373" spans="1:26" ht="16.5" customHeight="1" x14ac:dyDescent="0.4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</row>
    <row r="374" spans="1:26" ht="16.5" customHeight="1" x14ac:dyDescent="0.4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</row>
    <row r="375" spans="1:26" ht="16.5" customHeight="1" x14ac:dyDescent="0.4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</row>
    <row r="376" spans="1:26" ht="16.5" customHeight="1" x14ac:dyDescent="0.4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</row>
    <row r="377" spans="1:26" ht="16.5" customHeight="1" x14ac:dyDescent="0.4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</row>
    <row r="378" spans="1:26" ht="16.5" customHeight="1" x14ac:dyDescent="0.4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</row>
    <row r="379" spans="1:26" ht="16.5" customHeight="1" x14ac:dyDescent="0.4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</row>
    <row r="380" spans="1:26" ht="16.5" customHeight="1" x14ac:dyDescent="0.4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</row>
    <row r="381" spans="1:26" ht="16.5" customHeight="1" x14ac:dyDescent="0.4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</row>
    <row r="382" spans="1:26" ht="16.5" customHeight="1" x14ac:dyDescent="0.4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</row>
    <row r="383" spans="1:26" ht="16.5" customHeight="1" x14ac:dyDescent="0.4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</row>
    <row r="384" spans="1:26" ht="16.5" customHeight="1" x14ac:dyDescent="0.4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</row>
    <row r="385" spans="1:26" ht="16.5" customHeight="1" x14ac:dyDescent="0.4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</row>
    <row r="386" spans="1:26" ht="16.5" customHeight="1" x14ac:dyDescent="0.4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</row>
    <row r="387" spans="1:26" ht="16.5" customHeight="1" x14ac:dyDescent="0.4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</row>
    <row r="388" spans="1:26" ht="16.5" customHeight="1" x14ac:dyDescent="0.4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</row>
    <row r="389" spans="1:26" ht="16.5" customHeight="1" x14ac:dyDescent="0.4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</row>
    <row r="390" spans="1:26" ht="16.5" customHeight="1" x14ac:dyDescent="0.4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</row>
    <row r="391" spans="1:26" ht="16.5" customHeight="1" x14ac:dyDescent="0.4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</row>
    <row r="392" spans="1:26" ht="16.5" customHeight="1" x14ac:dyDescent="0.4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</row>
    <row r="393" spans="1:26" ht="16.5" customHeight="1" x14ac:dyDescent="0.4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</row>
    <row r="394" spans="1:26" ht="16.5" customHeight="1" x14ac:dyDescent="0.4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</row>
    <row r="395" spans="1:26" ht="16.5" customHeight="1" x14ac:dyDescent="0.4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</row>
    <row r="396" spans="1:26" ht="16.5" customHeight="1" x14ac:dyDescent="0.4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</row>
    <row r="397" spans="1:26" ht="16.5" customHeight="1" x14ac:dyDescent="0.4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</row>
    <row r="398" spans="1:26" ht="16.5" customHeight="1" x14ac:dyDescent="0.4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</row>
    <row r="399" spans="1:26" ht="16.5" customHeight="1" x14ac:dyDescent="0.4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</row>
    <row r="400" spans="1:26" ht="16.5" customHeight="1" x14ac:dyDescent="0.4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</row>
    <row r="401" spans="1:26" ht="16.5" customHeight="1" x14ac:dyDescent="0.4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</row>
    <row r="402" spans="1:26" ht="16.5" customHeight="1" x14ac:dyDescent="0.4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</row>
    <row r="403" spans="1:26" ht="16.5" customHeight="1" x14ac:dyDescent="0.4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</row>
    <row r="404" spans="1:26" ht="16.5" customHeight="1" x14ac:dyDescent="0.4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</row>
    <row r="405" spans="1:26" ht="16.5" customHeight="1" x14ac:dyDescent="0.4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</row>
    <row r="406" spans="1:26" ht="16.5" customHeight="1" x14ac:dyDescent="0.4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</row>
    <row r="407" spans="1:26" ht="16.5" customHeight="1" x14ac:dyDescent="0.4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</row>
    <row r="408" spans="1:26" ht="16.5" customHeight="1" x14ac:dyDescent="0.4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</row>
    <row r="409" spans="1:26" ht="16.5" customHeight="1" x14ac:dyDescent="0.4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</row>
    <row r="410" spans="1:26" ht="16.5" customHeight="1" x14ac:dyDescent="0.4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</row>
    <row r="411" spans="1:26" ht="16.5" customHeight="1" x14ac:dyDescent="0.4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</row>
    <row r="412" spans="1:26" ht="16.5" customHeight="1" x14ac:dyDescent="0.4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</row>
    <row r="413" spans="1:26" ht="16.5" customHeight="1" x14ac:dyDescent="0.4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</row>
    <row r="414" spans="1:26" ht="16.5" customHeight="1" x14ac:dyDescent="0.4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</row>
    <row r="415" spans="1:26" ht="16.5" customHeight="1" x14ac:dyDescent="0.4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</row>
    <row r="416" spans="1:26" ht="16.5" customHeight="1" x14ac:dyDescent="0.4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</row>
    <row r="417" spans="1:26" ht="16.5" customHeight="1" x14ac:dyDescent="0.4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</row>
    <row r="418" spans="1:26" ht="16.5" customHeight="1" x14ac:dyDescent="0.4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</row>
    <row r="419" spans="1:26" ht="16.5" customHeight="1" x14ac:dyDescent="0.4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</row>
    <row r="420" spans="1:26" ht="16.5" customHeight="1" x14ac:dyDescent="0.4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</row>
    <row r="421" spans="1:26" ht="16.5" customHeight="1" x14ac:dyDescent="0.4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</row>
    <row r="422" spans="1:26" ht="16.5" customHeight="1" x14ac:dyDescent="0.4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</row>
    <row r="423" spans="1:26" ht="16.5" customHeight="1" x14ac:dyDescent="0.4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</row>
    <row r="424" spans="1:26" ht="16.5" customHeight="1" x14ac:dyDescent="0.4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</row>
    <row r="425" spans="1:26" ht="16.5" customHeight="1" x14ac:dyDescent="0.4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</row>
    <row r="426" spans="1:26" ht="16.5" customHeight="1" x14ac:dyDescent="0.4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</row>
    <row r="427" spans="1:26" ht="16.5" customHeight="1" x14ac:dyDescent="0.4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</row>
    <row r="428" spans="1:26" ht="16.5" customHeight="1" x14ac:dyDescent="0.4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</row>
    <row r="429" spans="1:26" ht="16.5" customHeight="1" x14ac:dyDescent="0.4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</row>
    <row r="430" spans="1:26" ht="16.5" customHeight="1" x14ac:dyDescent="0.4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</row>
    <row r="431" spans="1:26" ht="16.5" customHeight="1" x14ac:dyDescent="0.4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</row>
    <row r="432" spans="1:26" ht="16.5" customHeight="1" x14ac:dyDescent="0.4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</row>
    <row r="433" spans="1:26" ht="16.5" customHeight="1" x14ac:dyDescent="0.4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</row>
    <row r="434" spans="1:26" ht="16.5" customHeight="1" x14ac:dyDescent="0.4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</row>
    <row r="435" spans="1:26" ht="16.5" customHeight="1" x14ac:dyDescent="0.4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</row>
    <row r="436" spans="1:26" ht="16.5" customHeight="1" x14ac:dyDescent="0.4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</row>
    <row r="437" spans="1:26" ht="16.5" customHeight="1" x14ac:dyDescent="0.4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</row>
    <row r="438" spans="1:26" ht="16.5" customHeight="1" x14ac:dyDescent="0.4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</row>
    <row r="439" spans="1:26" ht="16.5" customHeight="1" x14ac:dyDescent="0.4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</row>
    <row r="440" spans="1:26" ht="16.5" customHeight="1" x14ac:dyDescent="0.4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</row>
    <row r="441" spans="1:26" ht="16.5" customHeight="1" x14ac:dyDescent="0.4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</row>
    <row r="442" spans="1:26" ht="16.5" customHeight="1" x14ac:dyDescent="0.4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</row>
    <row r="443" spans="1:26" ht="16.5" customHeight="1" x14ac:dyDescent="0.4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</row>
    <row r="444" spans="1:26" ht="16.5" customHeight="1" x14ac:dyDescent="0.4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</row>
    <row r="445" spans="1:26" ht="16.5" customHeight="1" x14ac:dyDescent="0.4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</row>
    <row r="446" spans="1:26" ht="16.5" customHeight="1" x14ac:dyDescent="0.4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</row>
    <row r="447" spans="1:26" ht="16.5" customHeight="1" x14ac:dyDescent="0.4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</row>
    <row r="448" spans="1:26" ht="16.5" customHeight="1" x14ac:dyDescent="0.4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</row>
    <row r="449" spans="1:26" ht="16.5" customHeight="1" x14ac:dyDescent="0.4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</row>
    <row r="450" spans="1:26" ht="16.5" customHeight="1" x14ac:dyDescent="0.4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</row>
    <row r="451" spans="1:26" ht="16.5" customHeight="1" x14ac:dyDescent="0.4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</row>
    <row r="452" spans="1:26" ht="16.5" customHeight="1" x14ac:dyDescent="0.4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</row>
    <row r="453" spans="1:26" ht="16.5" customHeight="1" x14ac:dyDescent="0.4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</row>
    <row r="454" spans="1:26" ht="16.5" customHeight="1" x14ac:dyDescent="0.4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</row>
    <row r="455" spans="1:26" ht="16.5" customHeight="1" x14ac:dyDescent="0.4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</row>
    <row r="456" spans="1:26" ht="16.5" customHeight="1" x14ac:dyDescent="0.4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</row>
    <row r="457" spans="1:26" ht="16.5" customHeight="1" x14ac:dyDescent="0.4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</row>
    <row r="458" spans="1:26" ht="16.5" customHeight="1" x14ac:dyDescent="0.4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</row>
    <row r="459" spans="1:26" ht="16.5" customHeight="1" x14ac:dyDescent="0.4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</row>
    <row r="460" spans="1:26" ht="16.5" customHeight="1" x14ac:dyDescent="0.4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</row>
    <row r="461" spans="1:26" ht="16.5" customHeight="1" x14ac:dyDescent="0.4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</row>
    <row r="462" spans="1:26" ht="16.5" customHeight="1" x14ac:dyDescent="0.4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</row>
    <row r="463" spans="1:26" ht="16.5" customHeight="1" x14ac:dyDescent="0.4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</row>
    <row r="464" spans="1:26" ht="16.5" customHeight="1" x14ac:dyDescent="0.4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</row>
    <row r="465" spans="1:26" ht="16.5" customHeight="1" x14ac:dyDescent="0.4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</row>
    <row r="466" spans="1:26" ht="16.5" customHeight="1" x14ac:dyDescent="0.4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</row>
    <row r="467" spans="1:26" ht="16.5" customHeight="1" x14ac:dyDescent="0.4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</row>
    <row r="468" spans="1:26" ht="16.5" customHeight="1" x14ac:dyDescent="0.4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</row>
    <row r="469" spans="1:26" ht="16.5" customHeight="1" x14ac:dyDescent="0.4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</row>
    <row r="470" spans="1:26" ht="16.5" customHeight="1" x14ac:dyDescent="0.4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</row>
    <row r="471" spans="1:26" ht="16.5" customHeight="1" x14ac:dyDescent="0.4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</row>
    <row r="472" spans="1:26" ht="16.5" customHeight="1" x14ac:dyDescent="0.4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</row>
    <row r="473" spans="1:26" ht="16.5" customHeight="1" x14ac:dyDescent="0.4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</row>
    <row r="474" spans="1:26" ht="16.5" customHeight="1" x14ac:dyDescent="0.4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</row>
    <row r="475" spans="1:26" ht="16.5" customHeight="1" x14ac:dyDescent="0.4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</row>
    <row r="476" spans="1:26" ht="16.5" customHeight="1" x14ac:dyDescent="0.4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</row>
    <row r="477" spans="1:26" ht="16.5" customHeight="1" x14ac:dyDescent="0.4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</row>
    <row r="478" spans="1:26" ht="16.5" customHeight="1" x14ac:dyDescent="0.4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</row>
    <row r="479" spans="1:26" ht="16.5" customHeight="1" x14ac:dyDescent="0.4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</row>
    <row r="480" spans="1:26" ht="16.5" customHeight="1" x14ac:dyDescent="0.4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</row>
    <row r="481" spans="1:26" ht="16.5" customHeight="1" x14ac:dyDescent="0.4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</row>
    <row r="482" spans="1:26" ht="16.5" customHeight="1" x14ac:dyDescent="0.4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</row>
    <row r="483" spans="1:26" ht="16.5" customHeight="1" x14ac:dyDescent="0.4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</row>
    <row r="484" spans="1:26" ht="16.5" customHeight="1" x14ac:dyDescent="0.4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</row>
    <row r="485" spans="1:26" ht="16.5" customHeight="1" x14ac:dyDescent="0.4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</row>
    <row r="486" spans="1:26" ht="16.5" customHeight="1" x14ac:dyDescent="0.4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</row>
    <row r="487" spans="1:26" ht="16.5" customHeight="1" x14ac:dyDescent="0.4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</row>
    <row r="488" spans="1:26" ht="16.5" customHeight="1" x14ac:dyDescent="0.4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</row>
    <row r="489" spans="1:26" ht="16.5" customHeight="1" x14ac:dyDescent="0.4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</row>
    <row r="490" spans="1:26" ht="16.5" customHeight="1" x14ac:dyDescent="0.4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</row>
    <row r="491" spans="1:26" ht="16.5" customHeight="1" x14ac:dyDescent="0.4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</row>
    <row r="492" spans="1:26" ht="16.5" customHeight="1" x14ac:dyDescent="0.4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</row>
    <row r="493" spans="1:26" ht="16.5" customHeight="1" x14ac:dyDescent="0.4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</row>
    <row r="494" spans="1:26" ht="16.5" customHeight="1" x14ac:dyDescent="0.4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</row>
    <row r="495" spans="1:26" ht="16.5" customHeight="1" x14ac:dyDescent="0.4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</row>
    <row r="496" spans="1:26" ht="16.5" customHeight="1" x14ac:dyDescent="0.4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</row>
    <row r="497" spans="1:26" ht="16.5" customHeight="1" x14ac:dyDescent="0.4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</row>
    <row r="498" spans="1:26" ht="16.5" customHeight="1" x14ac:dyDescent="0.4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</row>
    <row r="499" spans="1:26" ht="16.5" customHeight="1" x14ac:dyDescent="0.4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</row>
    <row r="500" spans="1:26" ht="16.5" customHeight="1" x14ac:dyDescent="0.4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</row>
    <row r="501" spans="1:26" ht="16.5" customHeight="1" x14ac:dyDescent="0.4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</row>
    <row r="502" spans="1:26" ht="16.5" customHeight="1" x14ac:dyDescent="0.4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</row>
    <row r="503" spans="1:26" ht="16.5" customHeight="1" x14ac:dyDescent="0.4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</row>
    <row r="504" spans="1:26" ht="16.5" customHeight="1" x14ac:dyDescent="0.4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</row>
    <row r="505" spans="1:26" ht="16.5" customHeight="1" x14ac:dyDescent="0.4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</row>
    <row r="506" spans="1:26" ht="16.5" customHeight="1" x14ac:dyDescent="0.4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</row>
    <row r="507" spans="1:26" ht="16.5" customHeight="1" x14ac:dyDescent="0.4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</row>
    <row r="508" spans="1:26" ht="16.5" customHeight="1" x14ac:dyDescent="0.4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</row>
    <row r="509" spans="1:26" ht="16.5" customHeight="1" x14ac:dyDescent="0.4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</row>
    <row r="510" spans="1:26" ht="16.5" customHeight="1" x14ac:dyDescent="0.4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</row>
    <row r="511" spans="1:26" ht="16.5" customHeight="1" x14ac:dyDescent="0.4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</row>
    <row r="512" spans="1:26" ht="16.5" customHeight="1" x14ac:dyDescent="0.4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</row>
    <row r="513" spans="1:26" ht="16.5" customHeight="1" x14ac:dyDescent="0.4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</row>
    <row r="514" spans="1:26" ht="16.5" customHeight="1" x14ac:dyDescent="0.4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</row>
    <row r="515" spans="1:26" ht="16.5" customHeight="1" x14ac:dyDescent="0.4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</row>
    <row r="516" spans="1:26" ht="16.5" customHeight="1" x14ac:dyDescent="0.4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</row>
    <row r="517" spans="1:26" ht="16.5" customHeight="1" x14ac:dyDescent="0.4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</row>
    <row r="518" spans="1:26" ht="16.5" customHeight="1" x14ac:dyDescent="0.4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</row>
    <row r="519" spans="1:26" ht="16.5" customHeight="1" x14ac:dyDescent="0.4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</row>
    <row r="520" spans="1:26" ht="16.5" customHeight="1" x14ac:dyDescent="0.4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</row>
    <row r="521" spans="1:26" ht="16.5" customHeight="1" x14ac:dyDescent="0.4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</row>
    <row r="522" spans="1:26" ht="16.5" customHeight="1" x14ac:dyDescent="0.4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</row>
    <row r="523" spans="1:26" ht="16.5" customHeight="1" x14ac:dyDescent="0.4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</row>
    <row r="524" spans="1:26" ht="16.5" customHeight="1" x14ac:dyDescent="0.4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</row>
    <row r="525" spans="1:26" ht="16.5" customHeight="1" x14ac:dyDescent="0.4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</row>
    <row r="526" spans="1:26" ht="16.5" customHeight="1" x14ac:dyDescent="0.4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</row>
    <row r="527" spans="1:26" ht="16.5" customHeight="1" x14ac:dyDescent="0.4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</row>
    <row r="528" spans="1:26" ht="16.5" customHeight="1" x14ac:dyDescent="0.4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</row>
    <row r="529" spans="1:26" ht="16.5" customHeight="1" x14ac:dyDescent="0.4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</row>
    <row r="530" spans="1:26" ht="16.5" customHeight="1" x14ac:dyDescent="0.4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</row>
    <row r="531" spans="1:26" ht="16.5" customHeight="1" x14ac:dyDescent="0.4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</row>
    <row r="532" spans="1:26" ht="16.5" customHeight="1" x14ac:dyDescent="0.4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</row>
    <row r="533" spans="1:26" ht="16.5" customHeight="1" x14ac:dyDescent="0.4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</row>
    <row r="534" spans="1:26" ht="16.5" customHeight="1" x14ac:dyDescent="0.4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</row>
    <row r="535" spans="1:26" ht="16.5" customHeight="1" x14ac:dyDescent="0.4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</row>
    <row r="536" spans="1:26" ht="16.5" customHeight="1" x14ac:dyDescent="0.4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</row>
    <row r="537" spans="1:26" ht="16.5" customHeight="1" x14ac:dyDescent="0.4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</row>
    <row r="538" spans="1:26" ht="16.5" customHeight="1" x14ac:dyDescent="0.4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</row>
    <row r="539" spans="1:26" ht="16.5" customHeight="1" x14ac:dyDescent="0.4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</row>
    <row r="540" spans="1:26" ht="16.5" customHeight="1" x14ac:dyDescent="0.4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</row>
    <row r="541" spans="1:26" ht="16.5" customHeight="1" x14ac:dyDescent="0.4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</row>
    <row r="542" spans="1:26" ht="16.5" customHeight="1" x14ac:dyDescent="0.4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</row>
    <row r="543" spans="1:26" ht="16.5" customHeight="1" x14ac:dyDescent="0.4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</row>
    <row r="544" spans="1:26" ht="16.5" customHeight="1" x14ac:dyDescent="0.4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</row>
    <row r="545" spans="1:26" ht="16.5" customHeight="1" x14ac:dyDescent="0.4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</row>
    <row r="546" spans="1:26" ht="16.5" customHeight="1" x14ac:dyDescent="0.4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</row>
    <row r="547" spans="1:26" ht="16.5" customHeight="1" x14ac:dyDescent="0.4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</row>
    <row r="548" spans="1:26" ht="16.5" customHeight="1" x14ac:dyDescent="0.4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</row>
    <row r="549" spans="1:26" ht="16.5" customHeight="1" x14ac:dyDescent="0.4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</row>
    <row r="550" spans="1:26" ht="16.5" customHeight="1" x14ac:dyDescent="0.4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</row>
    <row r="551" spans="1:26" ht="16.5" customHeight="1" x14ac:dyDescent="0.4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</row>
    <row r="552" spans="1:26" ht="16.5" customHeight="1" x14ac:dyDescent="0.4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</row>
    <row r="553" spans="1:26" ht="16.5" customHeight="1" x14ac:dyDescent="0.4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</row>
    <row r="554" spans="1:26" ht="16.5" customHeight="1" x14ac:dyDescent="0.4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</row>
    <row r="555" spans="1:26" ht="16.5" customHeight="1" x14ac:dyDescent="0.4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</row>
    <row r="556" spans="1:26" ht="16.5" customHeight="1" x14ac:dyDescent="0.4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</row>
    <row r="557" spans="1:26" ht="16.5" customHeight="1" x14ac:dyDescent="0.4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</row>
    <row r="558" spans="1:26" ht="16.5" customHeight="1" x14ac:dyDescent="0.4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</row>
    <row r="559" spans="1:26" ht="16.5" customHeight="1" x14ac:dyDescent="0.4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</row>
    <row r="560" spans="1:26" ht="16.5" customHeight="1" x14ac:dyDescent="0.4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</row>
    <row r="561" spans="1:26" ht="16.5" customHeight="1" x14ac:dyDescent="0.4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</row>
    <row r="562" spans="1:26" ht="16.5" customHeight="1" x14ac:dyDescent="0.4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</row>
    <row r="563" spans="1:26" ht="16.5" customHeight="1" x14ac:dyDescent="0.4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</row>
    <row r="564" spans="1:26" ht="16.5" customHeight="1" x14ac:dyDescent="0.4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</row>
    <row r="565" spans="1:26" ht="16.5" customHeight="1" x14ac:dyDescent="0.4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</row>
    <row r="566" spans="1:26" ht="16.5" customHeight="1" x14ac:dyDescent="0.4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</row>
    <row r="567" spans="1:26" ht="16.5" customHeight="1" x14ac:dyDescent="0.4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</row>
    <row r="568" spans="1:26" ht="16.5" customHeight="1" x14ac:dyDescent="0.4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</row>
    <row r="569" spans="1:26" ht="16.5" customHeight="1" x14ac:dyDescent="0.4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</row>
    <row r="570" spans="1:26" ht="16.5" customHeight="1" x14ac:dyDescent="0.4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</row>
    <row r="571" spans="1:26" ht="16.5" customHeight="1" x14ac:dyDescent="0.4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</row>
    <row r="572" spans="1:26" ht="16.5" customHeight="1" x14ac:dyDescent="0.4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</row>
    <row r="573" spans="1:26" ht="16.5" customHeight="1" x14ac:dyDescent="0.4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</row>
    <row r="574" spans="1:26" ht="16.5" customHeight="1" x14ac:dyDescent="0.4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</row>
    <row r="575" spans="1:26" ht="16.5" customHeight="1" x14ac:dyDescent="0.4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</row>
    <row r="576" spans="1:26" ht="16.5" customHeight="1" x14ac:dyDescent="0.4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</row>
    <row r="577" spans="1:26" ht="16.5" customHeight="1" x14ac:dyDescent="0.4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</row>
    <row r="578" spans="1:26" ht="16.5" customHeight="1" x14ac:dyDescent="0.4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</row>
    <row r="579" spans="1:26" ht="16.5" customHeight="1" x14ac:dyDescent="0.4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</row>
    <row r="580" spans="1:26" ht="16.5" customHeight="1" x14ac:dyDescent="0.4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</row>
    <row r="581" spans="1:26" ht="16.5" customHeight="1" x14ac:dyDescent="0.4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</row>
    <row r="582" spans="1:26" ht="16.5" customHeight="1" x14ac:dyDescent="0.4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</row>
    <row r="583" spans="1:26" ht="16.5" customHeight="1" x14ac:dyDescent="0.4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</row>
    <row r="584" spans="1:26" ht="16.5" customHeight="1" x14ac:dyDescent="0.4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</row>
    <row r="585" spans="1:26" ht="16.5" customHeight="1" x14ac:dyDescent="0.4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</row>
    <row r="586" spans="1:26" ht="16.5" customHeight="1" x14ac:dyDescent="0.4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</row>
    <row r="587" spans="1:26" ht="16.5" customHeight="1" x14ac:dyDescent="0.4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</row>
    <row r="588" spans="1:26" ht="16.5" customHeight="1" x14ac:dyDescent="0.4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</row>
    <row r="589" spans="1:26" ht="16.5" customHeight="1" x14ac:dyDescent="0.4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</row>
    <row r="590" spans="1:26" ht="16.5" customHeight="1" x14ac:dyDescent="0.4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</row>
    <row r="591" spans="1:26" ht="16.5" customHeight="1" x14ac:dyDescent="0.4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</row>
    <row r="592" spans="1:26" ht="16.5" customHeight="1" x14ac:dyDescent="0.4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</row>
    <row r="593" spans="1:26" ht="16.5" customHeight="1" x14ac:dyDescent="0.4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</row>
    <row r="594" spans="1:26" ht="16.5" customHeight="1" x14ac:dyDescent="0.4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</row>
    <row r="595" spans="1:26" ht="16.5" customHeight="1" x14ac:dyDescent="0.4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</row>
    <row r="596" spans="1:26" ht="16.5" customHeight="1" x14ac:dyDescent="0.4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</row>
    <row r="597" spans="1:26" ht="16.5" customHeight="1" x14ac:dyDescent="0.4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</row>
    <row r="598" spans="1:26" ht="16.5" customHeight="1" x14ac:dyDescent="0.4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</row>
    <row r="599" spans="1:26" ht="16.5" customHeight="1" x14ac:dyDescent="0.4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</row>
    <row r="600" spans="1:26" ht="16.5" customHeight="1" x14ac:dyDescent="0.4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</row>
    <row r="601" spans="1:26" ht="16.5" customHeight="1" x14ac:dyDescent="0.4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</row>
    <row r="602" spans="1:26" ht="16.5" customHeight="1" x14ac:dyDescent="0.4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</row>
    <row r="603" spans="1:26" ht="16.5" customHeight="1" x14ac:dyDescent="0.4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</row>
    <row r="604" spans="1:26" ht="16.5" customHeight="1" x14ac:dyDescent="0.4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</row>
    <row r="605" spans="1:26" ht="16.5" customHeight="1" x14ac:dyDescent="0.4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</row>
    <row r="606" spans="1:26" ht="16.5" customHeight="1" x14ac:dyDescent="0.4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</row>
    <row r="607" spans="1:26" ht="16.5" customHeight="1" x14ac:dyDescent="0.4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</row>
    <row r="608" spans="1:26" ht="16.5" customHeight="1" x14ac:dyDescent="0.4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</row>
    <row r="609" spans="1:26" ht="16.5" customHeight="1" x14ac:dyDescent="0.4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</row>
    <row r="610" spans="1:26" ht="16.5" customHeight="1" x14ac:dyDescent="0.4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</row>
    <row r="611" spans="1:26" ht="16.5" customHeight="1" x14ac:dyDescent="0.4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</row>
    <row r="612" spans="1:26" ht="16.5" customHeight="1" x14ac:dyDescent="0.4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</row>
    <row r="613" spans="1:26" ht="16.5" customHeight="1" x14ac:dyDescent="0.4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</row>
    <row r="614" spans="1:26" ht="16.5" customHeight="1" x14ac:dyDescent="0.4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</row>
    <row r="615" spans="1:26" ht="16.5" customHeight="1" x14ac:dyDescent="0.4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</row>
    <row r="616" spans="1:26" ht="16.5" customHeight="1" x14ac:dyDescent="0.4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</row>
    <row r="617" spans="1:26" ht="16.5" customHeight="1" x14ac:dyDescent="0.4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</row>
    <row r="618" spans="1:26" ht="16.5" customHeight="1" x14ac:dyDescent="0.4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</row>
    <row r="619" spans="1:26" ht="16.5" customHeight="1" x14ac:dyDescent="0.4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</row>
    <row r="620" spans="1:26" ht="16.5" customHeight="1" x14ac:dyDescent="0.4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</row>
    <row r="621" spans="1:26" ht="16.5" customHeight="1" x14ac:dyDescent="0.4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</row>
    <row r="622" spans="1:26" ht="16.5" customHeight="1" x14ac:dyDescent="0.4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</row>
    <row r="623" spans="1:26" ht="16.5" customHeight="1" x14ac:dyDescent="0.4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</row>
    <row r="624" spans="1:26" ht="16.5" customHeight="1" x14ac:dyDescent="0.4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</row>
    <row r="625" spans="1:26" ht="16.5" customHeight="1" x14ac:dyDescent="0.4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</row>
    <row r="626" spans="1:26" ht="16.5" customHeight="1" x14ac:dyDescent="0.4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</row>
    <row r="627" spans="1:26" ht="16.5" customHeight="1" x14ac:dyDescent="0.4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</row>
    <row r="628" spans="1:26" ht="16.5" customHeight="1" x14ac:dyDescent="0.4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</row>
    <row r="629" spans="1:26" ht="16.5" customHeight="1" x14ac:dyDescent="0.4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</row>
    <row r="630" spans="1:26" ht="16.5" customHeight="1" x14ac:dyDescent="0.4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</row>
    <row r="631" spans="1:26" ht="16.5" customHeight="1" x14ac:dyDescent="0.4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</row>
    <row r="632" spans="1:26" ht="16.5" customHeight="1" x14ac:dyDescent="0.4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</row>
    <row r="633" spans="1:26" ht="16.5" customHeight="1" x14ac:dyDescent="0.4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</row>
    <row r="634" spans="1:26" ht="16.5" customHeight="1" x14ac:dyDescent="0.4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</row>
    <row r="635" spans="1:26" ht="16.5" customHeight="1" x14ac:dyDescent="0.4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</row>
    <row r="636" spans="1:26" ht="16.5" customHeight="1" x14ac:dyDescent="0.4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</row>
    <row r="637" spans="1:26" ht="16.5" customHeight="1" x14ac:dyDescent="0.4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</row>
    <row r="638" spans="1:26" ht="16.5" customHeight="1" x14ac:dyDescent="0.4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</row>
    <row r="639" spans="1:26" ht="16.5" customHeight="1" x14ac:dyDescent="0.4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</row>
    <row r="640" spans="1:26" ht="16.5" customHeight="1" x14ac:dyDescent="0.4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</row>
    <row r="641" spans="1:26" ht="16.5" customHeight="1" x14ac:dyDescent="0.4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</row>
    <row r="642" spans="1:26" ht="16.5" customHeight="1" x14ac:dyDescent="0.4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</row>
    <row r="643" spans="1:26" ht="16.5" customHeight="1" x14ac:dyDescent="0.4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</row>
    <row r="644" spans="1:26" ht="16.5" customHeight="1" x14ac:dyDescent="0.4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</row>
    <row r="645" spans="1:26" ht="16.5" customHeight="1" x14ac:dyDescent="0.4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</row>
    <row r="646" spans="1:26" ht="16.5" customHeight="1" x14ac:dyDescent="0.4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</row>
    <row r="647" spans="1:26" ht="16.5" customHeight="1" x14ac:dyDescent="0.4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</row>
    <row r="648" spans="1:26" ht="16.5" customHeight="1" x14ac:dyDescent="0.4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</row>
    <row r="649" spans="1:26" ht="16.5" customHeight="1" x14ac:dyDescent="0.4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</row>
    <row r="650" spans="1:26" ht="16.5" customHeight="1" x14ac:dyDescent="0.4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</row>
    <row r="651" spans="1:26" ht="16.5" customHeight="1" x14ac:dyDescent="0.4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</row>
    <row r="652" spans="1:26" ht="16.5" customHeight="1" x14ac:dyDescent="0.4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</row>
    <row r="653" spans="1:26" ht="16.5" customHeight="1" x14ac:dyDescent="0.4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</row>
    <row r="654" spans="1:26" ht="16.5" customHeight="1" x14ac:dyDescent="0.4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</row>
    <row r="655" spans="1:26" ht="16.5" customHeight="1" x14ac:dyDescent="0.4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</row>
    <row r="656" spans="1:26" ht="16.5" customHeight="1" x14ac:dyDescent="0.4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</row>
    <row r="657" spans="1:26" ht="16.5" customHeight="1" x14ac:dyDescent="0.4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</row>
    <row r="658" spans="1:26" ht="16.5" customHeight="1" x14ac:dyDescent="0.4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</row>
    <row r="659" spans="1:26" ht="16.5" customHeight="1" x14ac:dyDescent="0.4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</row>
    <row r="660" spans="1:26" ht="16.5" customHeight="1" x14ac:dyDescent="0.4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</row>
    <row r="661" spans="1:26" ht="16.5" customHeight="1" x14ac:dyDescent="0.4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</row>
    <row r="662" spans="1:26" ht="16.5" customHeight="1" x14ac:dyDescent="0.4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</row>
    <row r="663" spans="1:26" ht="16.5" customHeight="1" x14ac:dyDescent="0.4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</row>
    <row r="664" spans="1:26" ht="16.5" customHeight="1" x14ac:dyDescent="0.4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</row>
    <row r="665" spans="1:26" ht="16.5" customHeight="1" x14ac:dyDescent="0.4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</row>
    <row r="666" spans="1:26" ht="16.5" customHeight="1" x14ac:dyDescent="0.4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</row>
    <row r="667" spans="1:26" ht="16.5" customHeight="1" x14ac:dyDescent="0.4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</row>
    <row r="668" spans="1:26" ht="16.5" customHeight="1" x14ac:dyDescent="0.4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</row>
    <row r="669" spans="1:26" ht="16.5" customHeight="1" x14ac:dyDescent="0.4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</row>
    <row r="670" spans="1:26" ht="16.5" customHeight="1" x14ac:dyDescent="0.4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</row>
    <row r="671" spans="1:26" ht="16.5" customHeight="1" x14ac:dyDescent="0.4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</row>
    <row r="672" spans="1:26" ht="16.5" customHeight="1" x14ac:dyDescent="0.4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</row>
    <row r="673" spans="1:26" ht="16.5" customHeight="1" x14ac:dyDescent="0.4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</row>
    <row r="674" spans="1:26" ht="16.5" customHeight="1" x14ac:dyDescent="0.4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</row>
    <row r="675" spans="1:26" ht="16.5" customHeight="1" x14ac:dyDescent="0.4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</row>
    <row r="676" spans="1:26" ht="16.5" customHeight="1" x14ac:dyDescent="0.4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</row>
    <row r="677" spans="1:26" ht="16.5" customHeight="1" x14ac:dyDescent="0.4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</row>
    <row r="678" spans="1:26" ht="16.5" customHeight="1" x14ac:dyDescent="0.4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</row>
    <row r="679" spans="1:26" ht="16.5" customHeight="1" x14ac:dyDescent="0.4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</row>
    <row r="680" spans="1:26" ht="16.5" customHeight="1" x14ac:dyDescent="0.4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</row>
    <row r="681" spans="1:26" ht="16.5" customHeight="1" x14ac:dyDescent="0.4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</row>
    <row r="682" spans="1:26" ht="16.5" customHeight="1" x14ac:dyDescent="0.4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</row>
    <row r="683" spans="1:26" ht="16.5" customHeight="1" x14ac:dyDescent="0.4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</row>
    <row r="684" spans="1:26" ht="16.5" customHeight="1" x14ac:dyDescent="0.4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</row>
    <row r="685" spans="1:26" ht="16.5" customHeight="1" x14ac:dyDescent="0.4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</row>
    <row r="686" spans="1:26" ht="16.5" customHeight="1" x14ac:dyDescent="0.4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</row>
    <row r="687" spans="1:26" ht="16.5" customHeight="1" x14ac:dyDescent="0.4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</row>
    <row r="688" spans="1:26" ht="16.5" customHeight="1" x14ac:dyDescent="0.4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</row>
    <row r="689" spans="1:26" ht="16.5" customHeight="1" x14ac:dyDescent="0.4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</row>
    <row r="690" spans="1:26" ht="16.5" customHeight="1" x14ac:dyDescent="0.4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</row>
    <row r="691" spans="1:26" ht="16.5" customHeight="1" x14ac:dyDescent="0.4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</row>
    <row r="692" spans="1:26" ht="16.5" customHeight="1" x14ac:dyDescent="0.4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</row>
    <row r="693" spans="1:26" ht="16.5" customHeight="1" x14ac:dyDescent="0.4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</row>
    <row r="694" spans="1:26" ht="16.5" customHeight="1" x14ac:dyDescent="0.4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</row>
    <row r="695" spans="1:26" ht="16.5" customHeight="1" x14ac:dyDescent="0.4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</row>
    <row r="696" spans="1:26" ht="16.5" customHeight="1" x14ac:dyDescent="0.4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</row>
    <row r="697" spans="1:26" ht="16.5" customHeight="1" x14ac:dyDescent="0.4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</row>
    <row r="698" spans="1:26" ht="16.5" customHeight="1" x14ac:dyDescent="0.4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</row>
    <row r="699" spans="1:26" ht="16.5" customHeight="1" x14ac:dyDescent="0.4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</row>
    <row r="700" spans="1:26" ht="16.5" customHeight="1" x14ac:dyDescent="0.4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</row>
    <row r="701" spans="1:26" ht="16.5" customHeight="1" x14ac:dyDescent="0.4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</row>
    <row r="702" spans="1:26" ht="16.5" customHeight="1" x14ac:dyDescent="0.4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</row>
    <row r="703" spans="1:26" ht="16.5" customHeight="1" x14ac:dyDescent="0.4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</row>
    <row r="704" spans="1:26" ht="16.5" customHeight="1" x14ac:dyDescent="0.4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</row>
    <row r="705" spans="1:26" ht="16.5" customHeight="1" x14ac:dyDescent="0.4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</row>
    <row r="706" spans="1:26" ht="16.5" customHeight="1" x14ac:dyDescent="0.4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</row>
    <row r="707" spans="1:26" ht="16.5" customHeight="1" x14ac:dyDescent="0.4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</row>
    <row r="708" spans="1:26" ht="16.5" customHeight="1" x14ac:dyDescent="0.4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</row>
    <row r="709" spans="1:26" ht="16.5" customHeight="1" x14ac:dyDescent="0.4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</row>
    <row r="710" spans="1:26" ht="16.5" customHeight="1" x14ac:dyDescent="0.4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</row>
    <row r="711" spans="1:26" ht="16.5" customHeight="1" x14ac:dyDescent="0.4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</row>
    <row r="712" spans="1:26" ht="16.5" customHeight="1" x14ac:dyDescent="0.4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</row>
    <row r="713" spans="1:26" ht="16.5" customHeight="1" x14ac:dyDescent="0.4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</row>
    <row r="714" spans="1:26" ht="16.5" customHeight="1" x14ac:dyDescent="0.4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</row>
    <row r="715" spans="1:26" ht="16.5" customHeight="1" x14ac:dyDescent="0.4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</row>
    <row r="716" spans="1:26" ht="16.5" customHeight="1" x14ac:dyDescent="0.4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</row>
    <row r="717" spans="1:26" ht="16.5" customHeight="1" x14ac:dyDescent="0.4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</row>
    <row r="718" spans="1:26" ht="16.5" customHeight="1" x14ac:dyDescent="0.4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</row>
    <row r="719" spans="1:26" ht="16.5" customHeight="1" x14ac:dyDescent="0.4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</row>
    <row r="720" spans="1:26" ht="16.5" customHeight="1" x14ac:dyDescent="0.4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</row>
    <row r="721" spans="1:26" ht="16.5" customHeight="1" x14ac:dyDescent="0.4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</row>
    <row r="722" spans="1:26" ht="16.5" customHeight="1" x14ac:dyDescent="0.4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</row>
    <row r="723" spans="1:26" ht="16.5" customHeight="1" x14ac:dyDescent="0.4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</row>
    <row r="724" spans="1:26" ht="16.5" customHeight="1" x14ac:dyDescent="0.4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</row>
    <row r="725" spans="1:26" ht="16.5" customHeight="1" x14ac:dyDescent="0.4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</row>
    <row r="726" spans="1:26" ht="16.5" customHeight="1" x14ac:dyDescent="0.4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</row>
    <row r="727" spans="1:26" ht="16.5" customHeight="1" x14ac:dyDescent="0.4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</row>
    <row r="728" spans="1:26" ht="16.5" customHeight="1" x14ac:dyDescent="0.4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</row>
    <row r="729" spans="1:26" ht="16.5" customHeight="1" x14ac:dyDescent="0.4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</row>
    <row r="730" spans="1:26" ht="16.5" customHeight="1" x14ac:dyDescent="0.4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</row>
    <row r="731" spans="1:26" ht="16.5" customHeight="1" x14ac:dyDescent="0.4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</row>
    <row r="732" spans="1:26" ht="16.5" customHeight="1" x14ac:dyDescent="0.4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</row>
    <row r="733" spans="1:26" ht="16.5" customHeight="1" x14ac:dyDescent="0.4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</row>
    <row r="734" spans="1:26" ht="16.5" customHeight="1" x14ac:dyDescent="0.4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</row>
    <row r="735" spans="1:26" ht="16.5" customHeight="1" x14ac:dyDescent="0.4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</row>
    <row r="736" spans="1:26" ht="16.5" customHeight="1" x14ac:dyDescent="0.4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</row>
    <row r="737" spans="1:26" ht="16.5" customHeight="1" x14ac:dyDescent="0.4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</row>
    <row r="738" spans="1:26" ht="16.5" customHeight="1" x14ac:dyDescent="0.4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</row>
    <row r="739" spans="1:26" ht="16.5" customHeight="1" x14ac:dyDescent="0.4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</row>
    <row r="740" spans="1:26" ht="16.5" customHeight="1" x14ac:dyDescent="0.4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</row>
    <row r="741" spans="1:26" ht="16.5" customHeight="1" x14ac:dyDescent="0.4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</row>
    <row r="742" spans="1:26" ht="16.5" customHeight="1" x14ac:dyDescent="0.4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</row>
    <row r="743" spans="1:26" ht="16.5" customHeight="1" x14ac:dyDescent="0.4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</row>
    <row r="744" spans="1:26" ht="16.5" customHeight="1" x14ac:dyDescent="0.4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</row>
    <row r="745" spans="1:26" ht="16.5" customHeight="1" x14ac:dyDescent="0.4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</row>
    <row r="746" spans="1:26" ht="16.5" customHeight="1" x14ac:dyDescent="0.4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</row>
    <row r="747" spans="1:26" ht="16.5" customHeight="1" x14ac:dyDescent="0.4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</row>
    <row r="748" spans="1:26" ht="16.5" customHeight="1" x14ac:dyDescent="0.4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</row>
    <row r="749" spans="1:26" ht="16.5" customHeight="1" x14ac:dyDescent="0.4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</row>
    <row r="750" spans="1:26" ht="16.5" customHeight="1" x14ac:dyDescent="0.4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</row>
    <row r="751" spans="1:26" ht="16.5" customHeight="1" x14ac:dyDescent="0.4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</row>
    <row r="752" spans="1:26" ht="16.5" customHeight="1" x14ac:dyDescent="0.4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</row>
    <row r="753" spans="1:26" ht="16.5" customHeight="1" x14ac:dyDescent="0.4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</row>
    <row r="754" spans="1:26" ht="16.5" customHeight="1" x14ac:dyDescent="0.4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</row>
    <row r="755" spans="1:26" ht="16.5" customHeight="1" x14ac:dyDescent="0.4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</row>
    <row r="756" spans="1:26" ht="16.5" customHeight="1" x14ac:dyDescent="0.4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</row>
    <row r="757" spans="1:26" ht="16.5" customHeight="1" x14ac:dyDescent="0.4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</row>
    <row r="758" spans="1:26" ht="16.5" customHeight="1" x14ac:dyDescent="0.4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</row>
    <row r="759" spans="1:26" ht="16.5" customHeight="1" x14ac:dyDescent="0.4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</row>
    <row r="760" spans="1:26" ht="16.5" customHeight="1" x14ac:dyDescent="0.4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</row>
    <row r="761" spans="1:26" ht="16.5" customHeight="1" x14ac:dyDescent="0.4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</row>
    <row r="762" spans="1:26" ht="16.5" customHeight="1" x14ac:dyDescent="0.4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</row>
    <row r="763" spans="1:26" ht="16.5" customHeight="1" x14ac:dyDescent="0.4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</row>
    <row r="764" spans="1:26" ht="16.5" customHeight="1" x14ac:dyDescent="0.4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</row>
    <row r="765" spans="1:26" ht="16.5" customHeight="1" x14ac:dyDescent="0.4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</row>
    <row r="766" spans="1:26" ht="16.5" customHeight="1" x14ac:dyDescent="0.4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</row>
    <row r="767" spans="1:26" ht="16.5" customHeight="1" x14ac:dyDescent="0.4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</row>
    <row r="768" spans="1:26" ht="16.5" customHeight="1" x14ac:dyDescent="0.4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</row>
    <row r="769" spans="1:26" ht="16.5" customHeight="1" x14ac:dyDescent="0.4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</row>
    <row r="770" spans="1:26" ht="16.5" customHeight="1" x14ac:dyDescent="0.4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</row>
    <row r="771" spans="1:26" ht="16.5" customHeight="1" x14ac:dyDescent="0.4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</row>
    <row r="772" spans="1:26" ht="16.5" customHeight="1" x14ac:dyDescent="0.4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</row>
    <row r="773" spans="1:26" ht="16.5" customHeight="1" x14ac:dyDescent="0.4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</row>
    <row r="774" spans="1:26" ht="16.5" customHeight="1" x14ac:dyDescent="0.4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</row>
    <row r="775" spans="1:26" ht="16.5" customHeight="1" x14ac:dyDescent="0.4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</row>
    <row r="776" spans="1:26" ht="16.5" customHeight="1" x14ac:dyDescent="0.4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</row>
    <row r="777" spans="1:26" ht="16.5" customHeight="1" x14ac:dyDescent="0.4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</row>
    <row r="778" spans="1:26" ht="16.5" customHeight="1" x14ac:dyDescent="0.4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</row>
    <row r="779" spans="1:26" ht="16.5" customHeight="1" x14ac:dyDescent="0.4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</row>
    <row r="780" spans="1:26" ht="16.5" customHeight="1" x14ac:dyDescent="0.4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</row>
    <row r="781" spans="1:26" ht="16.5" customHeight="1" x14ac:dyDescent="0.4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</row>
    <row r="782" spans="1:26" ht="16.5" customHeight="1" x14ac:dyDescent="0.4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</row>
    <row r="783" spans="1:26" ht="16.5" customHeight="1" x14ac:dyDescent="0.4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</row>
    <row r="784" spans="1:26" ht="16.5" customHeight="1" x14ac:dyDescent="0.4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</row>
    <row r="785" spans="1:26" ht="16.5" customHeight="1" x14ac:dyDescent="0.4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</row>
    <row r="786" spans="1:26" ht="16.5" customHeight="1" x14ac:dyDescent="0.4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</row>
    <row r="787" spans="1:26" ht="16.5" customHeight="1" x14ac:dyDescent="0.4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</row>
    <row r="788" spans="1:26" ht="16.5" customHeight="1" x14ac:dyDescent="0.4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</row>
    <row r="789" spans="1:26" ht="16.5" customHeight="1" x14ac:dyDescent="0.4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</row>
    <row r="790" spans="1:26" ht="16.5" customHeight="1" x14ac:dyDescent="0.4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</row>
    <row r="791" spans="1:26" ht="16.5" customHeight="1" x14ac:dyDescent="0.4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</row>
    <row r="792" spans="1:26" ht="16.5" customHeight="1" x14ac:dyDescent="0.4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</row>
    <row r="793" spans="1:26" ht="16.5" customHeight="1" x14ac:dyDescent="0.4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</row>
    <row r="794" spans="1:26" ht="16.5" customHeight="1" x14ac:dyDescent="0.4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</row>
    <row r="795" spans="1:26" ht="16.5" customHeight="1" x14ac:dyDescent="0.4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</row>
    <row r="796" spans="1:26" ht="16.5" customHeight="1" x14ac:dyDescent="0.4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</row>
    <row r="797" spans="1:26" ht="16.5" customHeight="1" x14ac:dyDescent="0.4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</row>
    <row r="798" spans="1:26" ht="16.5" customHeight="1" x14ac:dyDescent="0.4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</row>
    <row r="799" spans="1:26" ht="16.5" customHeight="1" x14ac:dyDescent="0.4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</row>
    <row r="800" spans="1:26" ht="16.5" customHeight="1" x14ac:dyDescent="0.4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</row>
    <row r="801" spans="1:26" ht="16.5" customHeight="1" x14ac:dyDescent="0.4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</row>
    <row r="802" spans="1:26" ht="16.5" customHeight="1" x14ac:dyDescent="0.4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</row>
    <row r="803" spans="1:26" ht="16.5" customHeight="1" x14ac:dyDescent="0.4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</row>
    <row r="804" spans="1:26" ht="16.5" customHeight="1" x14ac:dyDescent="0.4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</row>
    <row r="805" spans="1:26" ht="16.5" customHeight="1" x14ac:dyDescent="0.4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</row>
    <row r="806" spans="1:26" ht="16.5" customHeight="1" x14ac:dyDescent="0.4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</row>
    <row r="807" spans="1:26" ht="16.5" customHeight="1" x14ac:dyDescent="0.4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</row>
    <row r="808" spans="1:26" ht="16.5" customHeight="1" x14ac:dyDescent="0.4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</row>
    <row r="809" spans="1:26" ht="16.5" customHeight="1" x14ac:dyDescent="0.4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</row>
    <row r="810" spans="1:26" ht="16.5" customHeight="1" x14ac:dyDescent="0.4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</row>
    <row r="811" spans="1:26" ht="16.5" customHeight="1" x14ac:dyDescent="0.4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</row>
    <row r="812" spans="1:26" ht="16.5" customHeight="1" x14ac:dyDescent="0.4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</row>
    <row r="813" spans="1:26" ht="16.5" customHeight="1" x14ac:dyDescent="0.4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</row>
    <row r="814" spans="1:26" ht="16.5" customHeight="1" x14ac:dyDescent="0.4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</row>
    <row r="815" spans="1:26" ht="16.5" customHeight="1" x14ac:dyDescent="0.4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</row>
    <row r="816" spans="1:26" ht="16.5" customHeight="1" x14ac:dyDescent="0.4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</row>
    <row r="817" spans="1:26" ht="16.5" customHeight="1" x14ac:dyDescent="0.4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</row>
    <row r="818" spans="1:26" ht="16.5" customHeight="1" x14ac:dyDescent="0.4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</row>
    <row r="819" spans="1:26" ht="16.5" customHeight="1" x14ac:dyDescent="0.4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</row>
    <row r="820" spans="1:26" ht="16.5" customHeight="1" x14ac:dyDescent="0.4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</row>
    <row r="821" spans="1:26" ht="16.5" customHeight="1" x14ac:dyDescent="0.4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</row>
    <row r="822" spans="1:26" ht="16.5" customHeight="1" x14ac:dyDescent="0.4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</row>
    <row r="823" spans="1:26" ht="16.5" customHeight="1" x14ac:dyDescent="0.4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</row>
    <row r="824" spans="1:26" ht="16.5" customHeight="1" x14ac:dyDescent="0.4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</row>
    <row r="825" spans="1:26" ht="16.5" customHeight="1" x14ac:dyDescent="0.4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</row>
    <row r="826" spans="1:26" ht="16.5" customHeight="1" x14ac:dyDescent="0.4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</row>
    <row r="827" spans="1:26" ht="16.5" customHeight="1" x14ac:dyDescent="0.4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</row>
    <row r="828" spans="1:26" ht="16.5" customHeight="1" x14ac:dyDescent="0.4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</row>
    <row r="829" spans="1:26" ht="16.5" customHeight="1" x14ac:dyDescent="0.4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</row>
    <row r="830" spans="1:26" ht="16.5" customHeight="1" x14ac:dyDescent="0.4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</row>
    <row r="831" spans="1:26" ht="16.5" customHeight="1" x14ac:dyDescent="0.4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</row>
    <row r="832" spans="1:26" ht="16.5" customHeight="1" x14ac:dyDescent="0.4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</row>
    <row r="833" spans="1:26" ht="16.5" customHeight="1" x14ac:dyDescent="0.4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</row>
    <row r="834" spans="1:26" ht="16.5" customHeight="1" x14ac:dyDescent="0.4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</row>
    <row r="835" spans="1:26" ht="16.5" customHeight="1" x14ac:dyDescent="0.4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</row>
    <row r="836" spans="1:26" ht="16.5" customHeight="1" x14ac:dyDescent="0.4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</row>
    <row r="837" spans="1:26" ht="16.5" customHeight="1" x14ac:dyDescent="0.4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</row>
    <row r="838" spans="1:26" ht="16.5" customHeight="1" x14ac:dyDescent="0.4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</row>
    <row r="839" spans="1:26" ht="16.5" customHeight="1" x14ac:dyDescent="0.4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</row>
    <row r="840" spans="1:26" ht="16.5" customHeight="1" x14ac:dyDescent="0.4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</row>
    <row r="841" spans="1:26" ht="16.5" customHeight="1" x14ac:dyDescent="0.4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</row>
    <row r="842" spans="1:26" ht="16.5" customHeight="1" x14ac:dyDescent="0.4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</row>
    <row r="843" spans="1:26" ht="16.5" customHeight="1" x14ac:dyDescent="0.4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</row>
    <row r="844" spans="1:26" ht="16.5" customHeight="1" x14ac:dyDescent="0.4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</row>
    <row r="845" spans="1:26" ht="16.5" customHeight="1" x14ac:dyDescent="0.4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</row>
    <row r="846" spans="1:26" ht="16.5" customHeight="1" x14ac:dyDescent="0.4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</row>
    <row r="847" spans="1:26" ht="16.5" customHeight="1" x14ac:dyDescent="0.4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</row>
    <row r="848" spans="1:26" ht="16.5" customHeight="1" x14ac:dyDescent="0.4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</row>
    <row r="849" spans="1:26" ht="16.5" customHeight="1" x14ac:dyDescent="0.4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</row>
    <row r="850" spans="1:26" ht="16.5" customHeight="1" x14ac:dyDescent="0.4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</row>
    <row r="851" spans="1:26" ht="16.5" customHeight="1" x14ac:dyDescent="0.4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</row>
    <row r="852" spans="1:26" ht="16.5" customHeight="1" x14ac:dyDescent="0.4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</row>
    <row r="853" spans="1:26" ht="16.5" customHeight="1" x14ac:dyDescent="0.4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</row>
    <row r="854" spans="1:26" ht="16.5" customHeight="1" x14ac:dyDescent="0.4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</row>
    <row r="855" spans="1:26" ht="16.5" customHeight="1" x14ac:dyDescent="0.4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</row>
    <row r="856" spans="1:26" ht="16.5" customHeight="1" x14ac:dyDescent="0.4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</row>
    <row r="857" spans="1:26" ht="16.5" customHeight="1" x14ac:dyDescent="0.4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</row>
    <row r="858" spans="1:26" ht="16.5" customHeight="1" x14ac:dyDescent="0.4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</row>
    <row r="859" spans="1:26" ht="16.5" customHeight="1" x14ac:dyDescent="0.4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</row>
    <row r="860" spans="1:26" ht="16.5" customHeight="1" x14ac:dyDescent="0.4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</row>
    <row r="861" spans="1:26" ht="16.5" customHeight="1" x14ac:dyDescent="0.4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</row>
    <row r="862" spans="1:26" ht="16.5" customHeight="1" x14ac:dyDescent="0.4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</row>
    <row r="863" spans="1:26" ht="16.5" customHeight="1" x14ac:dyDescent="0.4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</row>
    <row r="864" spans="1:26" ht="16.5" customHeight="1" x14ac:dyDescent="0.4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</row>
    <row r="865" spans="1:26" ht="16.5" customHeight="1" x14ac:dyDescent="0.4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</row>
    <row r="866" spans="1:26" ht="16.5" customHeight="1" x14ac:dyDescent="0.4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</row>
    <row r="867" spans="1:26" ht="16.5" customHeight="1" x14ac:dyDescent="0.4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</row>
    <row r="868" spans="1:26" ht="16.5" customHeight="1" x14ac:dyDescent="0.4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</row>
    <row r="869" spans="1:26" ht="16.5" customHeight="1" x14ac:dyDescent="0.4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</row>
    <row r="870" spans="1:26" ht="16.5" customHeight="1" x14ac:dyDescent="0.4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</row>
    <row r="871" spans="1:26" ht="16.5" customHeight="1" x14ac:dyDescent="0.4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</row>
    <row r="872" spans="1:26" ht="16.5" customHeight="1" x14ac:dyDescent="0.4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</row>
    <row r="873" spans="1:26" ht="16.5" customHeight="1" x14ac:dyDescent="0.4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</row>
    <row r="874" spans="1:26" ht="16.5" customHeight="1" x14ac:dyDescent="0.4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</row>
    <row r="875" spans="1:26" ht="16.5" customHeight="1" x14ac:dyDescent="0.4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</row>
    <row r="876" spans="1:26" ht="16.5" customHeight="1" x14ac:dyDescent="0.4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</row>
    <row r="877" spans="1:26" ht="16.5" customHeight="1" x14ac:dyDescent="0.4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</row>
    <row r="878" spans="1:26" ht="16.5" customHeight="1" x14ac:dyDescent="0.4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</row>
    <row r="879" spans="1:26" ht="16.5" customHeight="1" x14ac:dyDescent="0.4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</row>
    <row r="880" spans="1:26" ht="16.5" customHeight="1" x14ac:dyDescent="0.4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</row>
    <row r="881" spans="1:26" ht="16.5" customHeight="1" x14ac:dyDescent="0.4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</row>
    <row r="882" spans="1:26" ht="16.5" customHeight="1" x14ac:dyDescent="0.4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</row>
    <row r="883" spans="1:26" ht="16.5" customHeight="1" x14ac:dyDescent="0.4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</row>
    <row r="884" spans="1:26" ht="16.5" customHeight="1" x14ac:dyDescent="0.4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</row>
    <row r="885" spans="1:26" ht="16.5" customHeight="1" x14ac:dyDescent="0.4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</row>
    <row r="886" spans="1:26" ht="16.5" customHeight="1" x14ac:dyDescent="0.4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</row>
    <row r="887" spans="1:26" ht="16.5" customHeight="1" x14ac:dyDescent="0.4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</row>
    <row r="888" spans="1:26" ht="16.5" customHeight="1" x14ac:dyDescent="0.4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</row>
    <row r="889" spans="1:26" ht="16.5" customHeight="1" x14ac:dyDescent="0.4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</row>
    <row r="890" spans="1:26" ht="16.5" customHeight="1" x14ac:dyDescent="0.4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</row>
    <row r="891" spans="1:26" ht="16.5" customHeight="1" x14ac:dyDescent="0.4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</row>
    <row r="892" spans="1:26" ht="16.5" customHeight="1" x14ac:dyDescent="0.4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</row>
    <row r="893" spans="1:26" ht="16.5" customHeight="1" x14ac:dyDescent="0.4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</row>
    <row r="894" spans="1:26" ht="16.5" customHeight="1" x14ac:dyDescent="0.4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</row>
    <row r="895" spans="1:26" ht="16.5" customHeight="1" x14ac:dyDescent="0.4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</row>
    <row r="896" spans="1:26" ht="16.5" customHeight="1" x14ac:dyDescent="0.4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</row>
    <row r="897" spans="1:26" ht="16.5" customHeight="1" x14ac:dyDescent="0.4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</row>
    <row r="898" spans="1:26" ht="16.5" customHeight="1" x14ac:dyDescent="0.4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</row>
    <row r="899" spans="1:26" ht="16.5" customHeight="1" x14ac:dyDescent="0.4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</row>
    <row r="900" spans="1:26" ht="16.5" customHeight="1" x14ac:dyDescent="0.4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</row>
    <row r="901" spans="1:26" ht="16.5" customHeight="1" x14ac:dyDescent="0.4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</row>
    <row r="902" spans="1:26" ht="16.5" customHeight="1" x14ac:dyDescent="0.4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</row>
    <row r="903" spans="1:26" ht="16.5" customHeight="1" x14ac:dyDescent="0.4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</row>
    <row r="904" spans="1:26" ht="16.5" customHeight="1" x14ac:dyDescent="0.4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</row>
    <row r="905" spans="1:26" ht="16.5" customHeight="1" x14ac:dyDescent="0.4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</row>
    <row r="906" spans="1:26" ht="16.5" customHeight="1" x14ac:dyDescent="0.4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</row>
    <row r="907" spans="1:26" ht="16.5" customHeight="1" x14ac:dyDescent="0.4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</row>
    <row r="908" spans="1:26" ht="16.5" customHeight="1" x14ac:dyDescent="0.4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</row>
    <row r="909" spans="1:26" ht="16.5" customHeight="1" x14ac:dyDescent="0.4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</row>
    <row r="910" spans="1:26" ht="16.5" customHeight="1" x14ac:dyDescent="0.4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</row>
    <row r="911" spans="1:26" ht="16.5" customHeight="1" x14ac:dyDescent="0.4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</row>
    <row r="912" spans="1:26" ht="16.5" customHeight="1" x14ac:dyDescent="0.4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</row>
    <row r="913" spans="1:26" ht="16.5" customHeight="1" x14ac:dyDescent="0.4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</row>
    <row r="914" spans="1:26" ht="16.5" customHeight="1" x14ac:dyDescent="0.4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</row>
    <row r="915" spans="1:26" ht="16.5" customHeight="1" x14ac:dyDescent="0.4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</row>
    <row r="916" spans="1:26" ht="16.5" customHeight="1" x14ac:dyDescent="0.4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</row>
    <row r="917" spans="1:26" ht="16.5" customHeight="1" x14ac:dyDescent="0.4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</row>
    <row r="918" spans="1:26" ht="16.5" customHeight="1" x14ac:dyDescent="0.4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</row>
    <row r="919" spans="1:26" ht="16.5" customHeight="1" x14ac:dyDescent="0.4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</row>
    <row r="920" spans="1:26" ht="16.5" customHeight="1" x14ac:dyDescent="0.4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</row>
    <row r="921" spans="1:26" ht="16.5" customHeight="1" x14ac:dyDescent="0.4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</row>
    <row r="922" spans="1:26" ht="16.5" customHeight="1" x14ac:dyDescent="0.4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</row>
    <row r="923" spans="1:26" ht="16.5" customHeight="1" x14ac:dyDescent="0.4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</row>
    <row r="924" spans="1:26" ht="16.5" customHeight="1" x14ac:dyDescent="0.4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</row>
    <row r="925" spans="1:26" ht="16.5" customHeight="1" x14ac:dyDescent="0.4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</row>
    <row r="926" spans="1:26" ht="16.5" customHeight="1" x14ac:dyDescent="0.4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</row>
    <row r="927" spans="1:26" ht="16.5" customHeight="1" x14ac:dyDescent="0.4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</row>
    <row r="928" spans="1:26" ht="16.5" customHeight="1" x14ac:dyDescent="0.4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</row>
    <row r="929" spans="1:26" ht="16.5" customHeight="1" x14ac:dyDescent="0.4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</row>
    <row r="930" spans="1:26" ht="16.5" customHeight="1" x14ac:dyDescent="0.4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</row>
    <row r="931" spans="1:26" ht="16.5" customHeight="1" x14ac:dyDescent="0.4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</row>
    <row r="932" spans="1:26" ht="16.5" customHeight="1" x14ac:dyDescent="0.4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</row>
    <row r="933" spans="1:26" ht="16.5" customHeight="1" x14ac:dyDescent="0.4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</row>
    <row r="934" spans="1:26" ht="16.5" customHeight="1" x14ac:dyDescent="0.4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</row>
    <row r="935" spans="1:26" ht="16.5" customHeight="1" x14ac:dyDescent="0.4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</row>
    <row r="936" spans="1:26" ht="16.5" customHeight="1" x14ac:dyDescent="0.4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</row>
    <row r="937" spans="1:26" ht="16.5" customHeight="1" x14ac:dyDescent="0.4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</row>
    <row r="938" spans="1:26" ht="16.5" customHeight="1" x14ac:dyDescent="0.4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</row>
    <row r="939" spans="1:26" ht="16.5" customHeight="1" x14ac:dyDescent="0.4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</row>
    <row r="940" spans="1:26" ht="16.5" customHeight="1" x14ac:dyDescent="0.4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</row>
    <row r="941" spans="1:26" ht="16.5" customHeight="1" x14ac:dyDescent="0.4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</row>
    <row r="942" spans="1:26" ht="16.5" customHeight="1" x14ac:dyDescent="0.4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</row>
    <row r="943" spans="1:26" ht="16.5" customHeight="1" x14ac:dyDescent="0.4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</row>
    <row r="944" spans="1:26" ht="16.5" customHeight="1" x14ac:dyDescent="0.4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</row>
    <row r="945" spans="1:26" ht="16.5" customHeight="1" x14ac:dyDescent="0.4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</row>
    <row r="946" spans="1:26" ht="16.5" customHeight="1" x14ac:dyDescent="0.4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</row>
    <row r="947" spans="1:26" ht="16.5" customHeight="1" x14ac:dyDescent="0.4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</row>
    <row r="948" spans="1:26" ht="16.5" customHeight="1" x14ac:dyDescent="0.4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</row>
    <row r="949" spans="1:26" ht="16.5" customHeight="1" x14ac:dyDescent="0.4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</row>
    <row r="950" spans="1:26" ht="16.5" customHeight="1" x14ac:dyDescent="0.4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</row>
    <row r="951" spans="1:26" ht="16.5" customHeight="1" x14ac:dyDescent="0.4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</row>
    <row r="952" spans="1:26" ht="16.5" customHeight="1" x14ac:dyDescent="0.4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</row>
    <row r="953" spans="1:26" ht="16.5" customHeight="1" x14ac:dyDescent="0.4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</row>
    <row r="954" spans="1:26" ht="16.5" customHeight="1" x14ac:dyDescent="0.4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</row>
    <row r="955" spans="1:26" ht="16.5" customHeight="1" x14ac:dyDescent="0.4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</row>
    <row r="956" spans="1:26" ht="16.5" customHeight="1" x14ac:dyDescent="0.4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</row>
    <row r="957" spans="1:26" ht="16.5" customHeight="1" x14ac:dyDescent="0.4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</row>
    <row r="958" spans="1:26" ht="16.5" customHeight="1" x14ac:dyDescent="0.4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</row>
    <row r="959" spans="1:26" ht="16.5" customHeight="1" x14ac:dyDescent="0.4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</row>
    <row r="960" spans="1:26" ht="16.5" customHeight="1" x14ac:dyDescent="0.4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</row>
    <row r="961" spans="1:26" ht="16.5" customHeight="1" x14ac:dyDescent="0.4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</row>
    <row r="962" spans="1:26" ht="16.5" customHeight="1" x14ac:dyDescent="0.4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</row>
    <row r="963" spans="1:26" ht="16.5" customHeight="1" x14ac:dyDescent="0.4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</row>
    <row r="964" spans="1:26" ht="16.5" customHeight="1" x14ac:dyDescent="0.4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</row>
    <row r="965" spans="1:26" ht="16.5" customHeight="1" x14ac:dyDescent="0.4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</row>
    <row r="966" spans="1:26" ht="16.5" customHeight="1" x14ac:dyDescent="0.4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</row>
    <row r="967" spans="1:26" ht="16.5" customHeight="1" x14ac:dyDescent="0.4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</row>
    <row r="968" spans="1:26" ht="16.5" customHeight="1" x14ac:dyDescent="0.4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</row>
    <row r="969" spans="1:26" ht="16.5" customHeight="1" x14ac:dyDescent="0.4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</row>
    <row r="970" spans="1:26" ht="16.5" customHeight="1" x14ac:dyDescent="0.4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</row>
    <row r="971" spans="1:26" ht="16.5" customHeight="1" x14ac:dyDescent="0.4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</row>
    <row r="972" spans="1:26" ht="16.5" customHeight="1" x14ac:dyDescent="0.4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</row>
    <row r="973" spans="1:26" ht="16.5" customHeight="1" x14ac:dyDescent="0.4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</row>
    <row r="974" spans="1:26" ht="16.5" customHeight="1" x14ac:dyDescent="0.4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</row>
    <row r="975" spans="1:26" ht="16.5" customHeight="1" x14ac:dyDescent="0.4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</row>
    <row r="976" spans="1:26" ht="16.5" customHeight="1" x14ac:dyDescent="0.4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</row>
    <row r="977" spans="1:26" ht="16.5" customHeight="1" x14ac:dyDescent="0.4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</row>
    <row r="978" spans="1:26" ht="16.5" customHeight="1" x14ac:dyDescent="0.4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</row>
    <row r="979" spans="1:26" ht="16.5" customHeight="1" x14ac:dyDescent="0.4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</row>
    <row r="980" spans="1:26" ht="16.5" customHeight="1" x14ac:dyDescent="0.4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</row>
    <row r="981" spans="1:26" ht="16.5" customHeight="1" x14ac:dyDescent="0.4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</row>
    <row r="982" spans="1:26" ht="16.5" customHeight="1" x14ac:dyDescent="0.4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</row>
    <row r="983" spans="1:26" ht="16.5" customHeight="1" x14ac:dyDescent="0.4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</row>
    <row r="984" spans="1:26" ht="16.5" customHeight="1" x14ac:dyDescent="0.4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</row>
    <row r="985" spans="1:26" ht="16.5" customHeight="1" x14ac:dyDescent="0.4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</row>
    <row r="986" spans="1:26" ht="16.5" customHeight="1" x14ac:dyDescent="0.4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</row>
    <row r="987" spans="1:26" ht="16.5" customHeight="1" x14ac:dyDescent="0.4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</row>
    <row r="988" spans="1:26" ht="16.5" customHeight="1" x14ac:dyDescent="0.4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</row>
    <row r="989" spans="1:26" ht="16.5" customHeight="1" x14ac:dyDescent="0.4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</row>
    <row r="990" spans="1:26" ht="16.5" customHeight="1" x14ac:dyDescent="0.4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</row>
    <row r="991" spans="1:26" ht="16.5" customHeight="1" x14ac:dyDescent="0.4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</row>
    <row r="992" spans="1:26" ht="16.5" customHeight="1" x14ac:dyDescent="0.4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</row>
    <row r="993" spans="1:26" ht="16.5" customHeight="1" x14ac:dyDescent="0.4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</row>
    <row r="994" spans="1:26" ht="16.5" customHeight="1" x14ac:dyDescent="0.4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</row>
    <row r="995" spans="1:26" ht="16.5" customHeight="1" x14ac:dyDescent="0.4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</row>
    <row r="996" spans="1:26" ht="16.5" customHeight="1" x14ac:dyDescent="0.4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</row>
    <row r="997" spans="1:26" ht="16.5" customHeight="1" x14ac:dyDescent="0.4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</row>
    <row r="998" spans="1:26" ht="16.5" customHeight="1" x14ac:dyDescent="0.4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</row>
    <row r="999" spans="1:26" ht="16.5" customHeight="1" x14ac:dyDescent="0.4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</row>
    <row r="1000" spans="1:26" ht="16.5" customHeight="1" x14ac:dyDescent="0.4">
      <c r="A1000" s="1"/>
      <c r="B1000" s="1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</row>
  </sheetData>
  <sheetProtection sheet="1" objects="1" scenarios="1"/>
  <mergeCells count="100">
    <mergeCell ref="C43:D43"/>
    <mergeCell ref="C78:D78"/>
    <mergeCell ref="B79:E79"/>
    <mergeCell ref="C81:E81"/>
    <mergeCell ref="C82:E82"/>
    <mergeCell ref="C75:D75"/>
    <mergeCell ref="C76:D76"/>
    <mergeCell ref="C77:D77"/>
    <mergeCell ref="B68:E68"/>
    <mergeCell ref="C67:D67"/>
    <mergeCell ref="C72:D72"/>
    <mergeCell ref="C73:D73"/>
    <mergeCell ref="C74:D74"/>
    <mergeCell ref="C62:D62"/>
    <mergeCell ref="C63:D63"/>
    <mergeCell ref="C64:D64"/>
    <mergeCell ref="C38:D38"/>
    <mergeCell ref="C39:D39"/>
    <mergeCell ref="C40:D40"/>
    <mergeCell ref="C41:D41"/>
    <mergeCell ref="C42:D42"/>
    <mergeCell ref="C33:D33"/>
    <mergeCell ref="C34:D34"/>
    <mergeCell ref="C35:D35"/>
    <mergeCell ref="B36:E36"/>
    <mergeCell ref="B37:F37"/>
    <mergeCell ref="C26:E26"/>
    <mergeCell ref="C27:E27"/>
    <mergeCell ref="C28:E28"/>
    <mergeCell ref="C29:E29"/>
    <mergeCell ref="B30:E30"/>
    <mergeCell ref="C21:E21"/>
    <mergeCell ref="C22:E22"/>
    <mergeCell ref="C23:E23"/>
    <mergeCell ref="C24:E24"/>
    <mergeCell ref="C25:E25"/>
    <mergeCell ref="D15:F15"/>
    <mergeCell ref="D16:F16"/>
    <mergeCell ref="C17:E17"/>
    <mergeCell ref="B18:F18"/>
    <mergeCell ref="B19:E19"/>
    <mergeCell ref="C10:E10"/>
    <mergeCell ref="C11:E11"/>
    <mergeCell ref="C12:E12"/>
    <mergeCell ref="C14:D14"/>
    <mergeCell ref="E14:F14"/>
    <mergeCell ref="B6:C6"/>
    <mergeCell ref="D6:E6"/>
    <mergeCell ref="B7:F7"/>
    <mergeCell ref="C8:E8"/>
    <mergeCell ref="D9:F9"/>
    <mergeCell ref="B1:F1"/>
    <mergeCell ref="B2:D2"/>
    <mergeCell ref="B3:F3"/>
    <mergeCell ref="B4:F4"/>
    <mergeCell ref="B5:C5"/>
    <mergeCell ref="D5:F5"/>
    <mergeCell ref="B101:E101"/>
    <mergeCell ref="C103:E103"/>
    <mergeCell ref="B111:E111"/>
    <mergeCell ref="B112:E112"/>
    <mergeCell ref="C104:E104"/>
    <mergeCell ref="C105:E105"/>
    <mergeCell ref="C106:E106"/>
    <mergeCell ref="C107:E107"/>
    <mergeCell ref="C108:E108"/>
    <mergeCell ref="C109:E109"/>
    <mergeCell ref="B110:E110"/>
    <mergeCell ref="C96:D96"/>
    <mergeCell ref="C97:D97"/>
    <mergeCell ref="C98:D98"/>
    <mergeCell ref="C99:D99"/>
    <mergeCell ref="C100:D100"/>
    <mergeCell ref="C90:E90"/>
    <mergeCell ref="B91:E91"/>
    <mergeCell ref="B93:F93"/>
    <mergeCell ref="C94:D94"/>
    <mergeCell ref="C95:D95"/>
    <mergeCell ref="C88:E88"/>
    <mergeCell ref="C89:E89"/>
    <mergeCell ref="B83:E83"/>
    <mergeCell ref="C86:E86"/>
    <mergeCell ref="C87:E87"/>
    <mergeCell ref="C65:D65"/>
    <mergeCell ref="C66:D66"/>
    <mergeCell ref="B55:E55"/>
    <mergeCell ref="C57:E57"/>
    <mergeCell ref="C58:E58"/>
    <mergeCell ref="B59:E59"/>
    <mergeCell ref="C61:D61"/>
    <mergeCell ref="C50:E50"/>
    <mergeCell ref="C51:E51"/>
    <mergeCell ref="C52:E52"/>
    <mergeCell ref="C53:E53"/>
    <mergeCell ref="C54:E54"/>
    <mergeCell ref="C44:D44"/>
    <mergeCell ref="C45:D45"/>
    <mergeCell ref="C46:D46"/>
    <mergeCell ref="B47:E47"/>
    <mergeCell ref="C49:E49"/>
  </mergeCells>
  <conditionalFormatting sqref="F51">
    <cfRule type="cellIs" dxfId="1" priority="1" operator="equal">
      <formula>"Insira o % do PAT"</formula>
    </cfRule>
  </conditionalFormatting>
  <printOptions horizontalCentered="1"/>
  <pageMargins left="0.08" right="0.05" top="0.19685039370078741" bottom="0.15748031496062992" header="0" footer="0"/>
  <pageSetup paperSize="9" orientation="portrait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Z1000"/>
  <sheetViews>
    <sheetView tabSelected="1" topLeftCell="A7" workbookViewId="0">
      <selection activeCell="G25" sqref="G25"/>
    </sheetView>
  </sheetViews>
  <sheetFormatPr defaultColWidth="12.5546875" defaultRowHeight="15" customHeight="1" x14ac:dyDescent="0.35"/>
  <cols>
    <col min="1" max="1" width="2.6640625" style="2" customWidth="1"/>
    <col min="2" max="2" width="8.88671875" style="2" customWidth="1"/>
    <col min="3" max="3" width="52.5546875" style="2" customWidth="1"/>
    <col min="4" max="4" width="15.6640625" style="2" customWidth="1"/>
    <col min="5" max="5" width="13.5546875" style="2" customWidth="1"/>
    <col min="6" max="6" width="19.44140625" style="2" customWidth="1"/>
    <col min="7" max="26" width="9.109375" style="2" customWidth="1"/>
    <col min="27" max="16384" width="12.5546875" style="2"/>
  </cols>
  <sheetData>
    <row r="1" spans="1:26" ht="16.5" customHeight="1" x14ac:dyDescent="0.45">
      <c r="A1" s="1"/>
      <c r="B1" s="119" t="str">
        <f>RAMO</f>
        <v>RAMO: CONSELHO NACIONAL DO MINISTÉRIO PÚBLICO</v>
      </c>
      <c r="C1" s="109"/>
      <c r="D1" s="109"/>
      <c r="E1" s="109"/>
      <c r="F1" s="107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ht="16.5" customHeight="1" x14ac:dyDescent="0.45">
      <c r="A2" s="1"/>
      <c r="B2" s="120" t="str">
        <f>UG</f>
        <v>UNIDADE GESTORA (SIGLA): CNMP</v>
      </c>
      <c r="C2" s="109"/>
      <c r="D2" s="107"/>
      <c r="E2" s="3" t="s">
        <v>0</v>
      </c>
      <c r="F2" s="4">
        <f>DATA_DO_ORCAMENTO_ESTIMATIVO</f>
        <v>46037</v>
      </c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ht="24.6" x14ac:dyDescent="0.55000000000000004">
      <c r="A3" s="5"/>
      <c r="B3" s="121" t="s">
        <v>174</v>
      </c>
      <c r="C3" s="122"/>
      <c r="D3" s="122"/>
      <c r="E3" s="122"/>
      <c r="F3" s="123"/>
      <c r="G3" s="5"/>
      <c r="H3" s="5"/>
      <c r="I3" s="5"/>
      <c r="J3" s="5"/>
      <c r="K3" s="5"/>
      <c r="L3" s="5"/>
      <c r="M3" s="5"/>
      <c r="N3" s="5"/>
      <c r="O3" s="5"/>
      <c r="P3" s="5"/>
      <c r="Q3" s="5"/>
      <c r="R3" s="5"/>
      <c r="S3" s="5"/>
      <c r="T3" s="5"/>
      <c r="U3" s="5"/>
      <c r="V3" s="5"/>
      <c r="W3" s="5"/>
      <c r="X3" s="5"/>
      <c r="Y3" s="5"/>
      <c r="Z3" s="5"/>
    </row>
    <row r="4" spans="1:26" ht="15.75" customHeight="1" x14ac:dyDescent="0.4">
      <c r="A4" s="5"/>
      <c r="B4" s="124" t="s">
        <v>3</v>
      </c>
      <c r="C4" s="125"/>
      <c r="D4" s="125"/>
      <c r="E4" s="125"/>
      <c r="F4" s="126"/>
      <c r="G4" s="5"/>
      <c r="H4" s="5"/>
      <c r="I4" s="5"/>
      <c r="J4" s="5"/>
      <c r="K4" s="5"/>
      <c r="L4" s="5"/>
      <c r="M4" s="5"/>
      <c r="N4" s="5"/>
      <c r="O4" s="5"/>
      <c r="P4" s="5"/>
      <c r="Q4" s="5"/>
      <c r="R4" s="5"/>
      <c r="S4" s="5"/>
      <c r="T4" s="5"/>
      <c r="U4" s="5"/>
      <c r="V4" s="5"/>
      <c r="W4" s="5"/>
      <c r="X4" s="5"/>
      <c r="Y4" s="5"/>
      <c r="Z4" s="5"/>
    </row>
    <row r="5" spans="1:26" ht="15.75" customHeight="1" x14ac:dyDescent="0.4">
      <c r="A5" s="5"/>
      <c r="B5" s="127" t="s">
        <v>175</v>
      </c>
      <c r="C5" s="107"/>
      <c r="D5" s="128" t="str">
        <f>NUMERO_PROCESSO</f>
        <v>19.00.6150.0002989/2025-03</v>
      </c>
      <c r="E5" s="109"/>
      <c r="F5" s="107"/>
      <c r="G5" s="5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5"/>
    </row>
    <row r="6" spans="1:26" ht="15.75" customHeight="1" x14ac:dyDescent="0.4">
      <c r="A6" s="5"/>
      <c r="B6" s="129" t="s">
        <v>176</v>
      </c>
      <c r="C6" s="107"/>
      <c r="D6" s="130" t="str">
        <f>MODALIDADE_DE_LICITACAO</f>
        <v>Pregão nº</v>
      </c>
      <c r="E6" s="107"/>
      <c r="F6" s="6" t="str">
        <f>NUMERO_PREGAO</f>
        <v>XX/20XX</v>
      </c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</row>
    <row r="7" spans="1:26" ht="15.75" customHeight="1" x14ac:dyDescent="0.45">
      <c r="A7" s="5"/>
      <c r="B7" s="131" t="s">
        <v>177</v>
      </c>
      <c r="C7" s="132"/>
      <c r="D7" s="132"/>
      <c r="E7" s="132"/>
      <c r="F7" s="132"/>
      <c r="G7" s="5"/>
      <c r="H7" s="5"/>
      <c r="I7" s="5"/>
      <c r="J7" s="5"/>
      <c r="K7" s="5"/>
      <c r="L7" s="5"/>
      <c r="M7" s="5"/>
      <c r="N7" s="5"/>
      <c r="O7" s="5"/>
      <c r="P7" s="5"/>
      <c r="Q7" s="5"/>
      <c r="R7" s="5"/>
      <c r="S7" s="5"/>
      <c r="T7" s="5"/>
      <c r="U7" s="5"/>
      <c r="V7" s="5"/>
      <c r="W7" s="5"/>
      <c r="X7" s="5"/>
      <c r="Y7" s="5"/>
      <c r="Z7" s="5"/>
    </row>
    <row r="8" spans="1:26" ht="18" customHeight="1" x14ac:dyDescent="0.4">
      <c r="A8" s="5"/>
      <c r="B8" s="7" t="s">
        <v>11</v>
      </c>
      <c r="C8" s="127" t="s">
        <v>12</v>
      </c>
      <c r="D8" s="109"/>
      <c r="E8" s="107"/>
      <c r="F8" s="8" t="str">
        <f>DATA_APRESENTACAO_PROPOSTA</f>
        <v>XX/XX/20XX</v>
      </c>
      <c r="G8" s="5"/>
      <c r="H8" s="5"/>
      <c r="I8" s="5"/>
      <c r="J8" s="5"/>
      <c r="K8" s="5"/>
      <c r="L8" s="5"/>
      <c r="M8" s="5"/>
      <c r="N8" s="5"/>
      <c r="O8" s="5"/>
      <c r="P8" s="5"/>
      <c r="Q8" s="5"/>
      <c r="R8" s="5"/>
      <c r="S8" s="5"/>
      <c r="T8" s="5"/>
      <c r="U8" s="5"/>
      <c r="V8" s="5"/>
      <c r="W8" s="5"/>
      <c r="X8" s="5"/>
      <c r="Y8" s="5"/>
      <c r="Z8" s="5"/>
    </row>
    <row r="9" spans="1:26" ht="15.75" customHeight="1" x14ac:dyDescent="0.35">
      <c r="A9" s="5"/>
      <c r="B9" s="9" t="s">
        <v>13</v>
      </c>
      <c r="C9" s="10" t="s">
        <v>14</v>
      </c>
      <c r="D9" s="112" t="str">
        <f>IF(LOCAL_DE_EXECUCAO="","",LOCAL_DE_EXECUCAO)</f>
        <v>CNMP</v>
      </c>
      <c r="E9" s="109"/>
      <c r="F9" s="107"/>
      <c r="G9" s="5"/>
      <c r="H9" s="5"/>
      <c r="I9" s="5"/>
      <c r="J9" s="5"/>
      <c r="K9" s="5"/>
      <c r="L9" s="5"/>
      <c r="M9" s="5"/>
      <c r="N9" s="5"/>
      <c r="O9" s="5"/>
      <c r="P9" s="5"/>
      <c r="Q9" s="5"/>
      <c r="R9" s="5"/>
      <c r="S9" s="5"/>
      <c r="T9" s="5"/>
      <c r="U9" s="5"/>
      <c r="V9" s="5"/>
      <c r="W9" s="5"/>
      <c r="X9" s="5"/>
      <c r="Y9" s="5"/>
      <c r="Z9" s="5"/>
    </row>
    <row r="10" spans="1:26" ht="18.75" customHeight="1" x14ac:dyDescent="0.4">
      <c r="A10" s="5"/>
      <c r="B10" s="7" t="s">
        <v>15</v>
      </c>
      <c r="C10" s="127" t="s">
        <v>18</v>
      </c>
      <c r="D10" s="109"/>
      <c r="E10" s="107"/>
      <c r="F10" s="11" t="str">
        <f>ACORDO_COLETIVO</f>
        <v>26/2026</v>
      </c>
      <c r="G10" s="5"/>
      <c r="H10" s="5"/>
      <c r="I10" s="5"/>
      <c r="J10" s="5"/>
      <c r="K10" s="5"/>
      <c r="L10" s="5"/>
      <c r="M10" s="5"/>
      <c r="N10" s="5"/>
      <c r="O10" s="5"/>
      <c r="P10" s="5"/>
      <c r="Q10" s="5"/>
      <c r="R10" s="5"/>
      <c r="S10" s="5"/>
      <c r="T10" s="5"/>
      <c r="U10" s="5"/>
      <c r="V10" s="5"/>
      <c r="W10" s="5"/>
      <c r="X10" s="5"/>
      <c r="Y10" s="5"/>
      <c r="Z10" s="5"/>
    </row>
    <row r="11" spans="1:26" ht="15.75" customHeight="1" x14ac:dyDescent="0.4">
      <c r="A11" s="5"/>
      <c r="B11" s="9" t="s">
        <v>17</v>
      </c>
      <c r="C11" s="112" t="s">
        <v>20</v>
      </c>
      <c r="D11" s="109"/>
      <c r="E11" s="107"/>
      <c r="F11" s="12">
        <f>NUMERO_MESES_EXEC_CONTRATUAL</f>
        <v>12</v>
      </c>
      <c r="G11" s="5"/>
      <c r="H11" s="5"/>
      <c r="I11" s="5"/>
      <c r="J11" s="5"/>
      <c r="K11" s="5"/>
      <c r="L11" s="5"/>
      <c r="M11" s="5"/>
      <c r="N11" s="5"/>
      <c r="O11" s="5"/>
      <c r="P11" s="5"/>
      <c r="Q11" s="5"/>
      <c r="R11" s="5"/>
      <c r="S11" s="5"/>
      <c r="T11" s="5"/>
      <c r="U11" s="5"/>
      <c r="V11" s="5"/>
      <c r="W11" s="5"/>
      <c r="X11" s="5"/>
      <c r="Y11" s="5"/>
      <c r="Z11" s="5"/>
    </row>
    <row r="12" spans="1:26" ht="16.5" customHeight="1" x14ac:dyDescent="0.4">
      <c r="A12" s="5"/>
      <c r="B12" s="9" t="s">
        <v>19</v>
      </c>
      <c r="C12" s="113" t="s">
        <v>178</v>
      </c>
      <c r="D12" s="109"/>
      <c r="E12" s="107"/>
      <c r="F12" s="13">
        <f>IF('POSTO 40 HORAS'!QTDE_POSTOS="","",'POSTO 40 HORAS'!QTDE_POSTOS)</f>
        <v>1</v>
      </c>
      <c r="G12" s="5"/>
      <c r="H12" s="5"/>
      <c r="I12" s="5"/>
      <c r="J12" s="5"/>
      <c r="K12" s="5"/>
      <c r="L12" s="5"/>
      <c r="M12" s="5"/>
      <c r="N12" s="5"/>
      <c r="O12" s="5"/>
      <c r="P12" s="5"/>
      <c r="Q12" s="5"/>
      <c r="R12" s="5"/>
      <c r="S12" s="5"/>
      <c r="T12" s="5"/>
      <c r="U12" s="5"/>
      <c r="V12" s="5"/>
      <c r="W12" s="5"/>
      <c r="X12" s="5"/>
      <c r="Y12" s="5"/>
      <c r="Z12" s="5"/>
    </row>
    <row r="13" spans="1:26" ht="15" customHeight="1" x14ac:dyDescent="0.35">
      <c r="A13" s="14"/>
      <c r="B13" s="15" t="s">
        <v>33</v>
      </c>
      <c r="C13" s="16"/>
      <c r="D13" s="16"/>
      <c r="E13" s="16"/>
      <c r="F13" s="16"/>
      <c r="G13" s="14"/>
      <c r="H13" s="14"/>
      <c r="I13" s="14"/>
      <c r="J13" s="14"/>
      <c r="K13" s="14"/>
      <c r="L13" s="14"/>
      <c r="M13" s="14"/>
      <c r="N13" s="14"/>
      <c r="O13" s="14"/>
      <c r="P13" s="14"/>
      <c r="Q13" s="14"/>
      <c r="R13" s="14"/>
      <c r="S13" s="14"/>
      <c r="T13" s="14"/>
      <c r="U13" s="14"/>
      <c r="V13" s="14"/>
      <c r="W13" s="14"/>
      <c r="X13" s="14"/>
      <c r="Y13" s="14"/>
      <c r="Z13" s="14"/>
    </row>
    <row r="14" spans="1:26" ht="16.5" customHeight="1" x14ac:dyDescent="0.4">
      <c r="A14" s="5"/>
      <c r="B14" s="7">
        <v>1</v>
      </c>
      <c r="C14" s="127" t="s">
        <v>179</v>
      </c>
      <c r="D14" s="107"/>
      <c r="E14" s="128" t="str">
        <f>IF(TIPO_DE_SERVICO="","",TIPO_DE_SERVICO)</f>
        <v>MARCENEIRO MODELISTA</v>
      </c>
      <c r="F14" s="107"/>
      <c r="G14" s="5"/>
      <c r="H14" s="5"/>
      <c r="I14" s="5"/>
      <c r="J14" s="5"/>
      <c r="K14" s="5"/>
      <c r="L14" s="5"/>
      <c r="M14" s="5"/>
      <c r="N14" s="5"/>
      <c r="O14" s="5"/>
      <c r="P14" s="5"/>
      <c r="Q14" s="5"/>
      <c r="R14" s="5"/>
      <c r="S14" s="5"/>
      <c r="T14" s="5"/>
      <c r="U14" s="5"/>
      <c r="V14" s="5"/>
      <c r="W14" s="5"/>
      <c r="X14" s="5"/>
      <c r="Y14" s="5"/>
      <c r="Z14" s="5"/>
    </row>
    <row r="15" spans="1:26" ht="16.5" customHeight="1" x14ac:dyDescent="0.4">
      <c r="A15" s="5"/>
      <c r="B15" s="7">
        <v>2</v>
      </c>
      <c r="C15" s="17" t="s">
        <v>29</v>
      </c>
      <c r="D15" s="133" t="str">
        <f>IF(CBO="","",CBO)</f>
        <v>7711-10</v>
      </c>
      <c r="E15" s="109"/>
      <c r="F15" s="107"/>
      <c r="G15" s="5"/>
      <c r="H15" s="5"/>
      <c r="I15" s="5"/>
      <c r="J15" s="5"/>
      <c r="K15" s="5"/>
      <c r="L15" s="5"/>
      <c r="M15" s="5"/>
      <c r="N15" s="5"/>
      <c r="O15" s="5"/>
      <c r="P15" s="5"/>
      <c r="Q15" s="5"/>
      <c r="R15" s="5"/>
      <c r="S15" s="5"/>
      <c r="T15" s="5"/>
      <c r="U15" s="5"/>
      <c r="V15" s="5"/>
      <c r="W15" s="5"/>
      <c r="X15" s="5"/>
      <c r="Y15" s="5"/>
      <c r="Z15" s="5"/>
    </row>
    <row r="16" spans="1:26" ht="15" customHeight="1" x14ac:dyDescent="0.4">
      <c r="A16" s="5"/>
      <c r="B16" s="7">
        <v>3</v>
      </c>
      <c r="C16" s="18" t="s">
        <v>30</v>
      </c>
      <c r="D16" s="128" t="str">
        <f>IF(CATEGORIA_PROFISSIONAL="","",CATEGORIA_PROFISSIONAL)</f>
        <v/>
      </c>
      <c r="E16" s="109"/>
      <c r="F16" s="107"/>
      <c r="G16" s="5"/>
      <c r="H16" s="5"/>
      <c r="I16" s="5"/>
      <c r="J16" s="5"/>
      <c r="K16" s="5"/>
      <c r="L16" s="5"/>
      <c r="M16" s="5"/>
      <c r="N16" s="5"/>
      <c r="O16" s="5"/>
      <c r="P16" s="5"/>
      <c r="Q16" s="5"/>
      <c r="R16" s="5"/>
      <c r="S16" s="5"/>
      <c r="T16" s="5"/>
      <c r="U16" s="5"/>
      <c r="V16" s="5"/>
      <c r="W16" s="5"/>
      <c r="X16" s="5"/>
      <c r="Y16" s="5"/>
      <c r="Z16" s="5"/>
    </row>
    <row r="17" spans="1:26" ht="15" customHeight="1" x14ac:dyDescent="0.4">
      <c r="A17" s="5"/>
      <c r="B17" s="7">
        <v>4</v>
      </c>
      <c r="C17" s="129" t="s">
        <v>31</v>
      </c>
      <c r="D17" s="109"/>
      <c r="E17" s="107"/>
      <c r="F17" s="19">
        <f>DATA_BASE_CATEGORIA</f>
        <v>46023</v>
      </c>
      <c r="G17" s="5"/>
      <c r="H17" s="5"/>
      <c r="I17" s="5"/>
      <c r="J17" s="5"/>
      <c r="K17" s="5"/>
      <c r="L17" s="5"/>
      <c r="M17" s="5"/>
      <c r="N17" s="5"/>
      <c r="O17" s="5"/>
      <c r="P17" s="5"/>
      <c r="Q17" s="5"/>
      <c r="R17" s="5"/>
      <c r="S17" s="5"/>
      <c r="T17" s="5"/>
      <c r="U17" s="5"/>
      <c r="V17" s="5"/>
      <c r="W17" s="5"/>
      <c r="X17" s="5"/>
      <c r="Y17" s="5"/>
      <c r="Z17" s="5"/>
    </row>
    <row r="18" spans="1:26" ht="20.25" customHeight="1" x14ac:dyDescent="0.4">
      <c r="A18" s="20"/>
      <c r="B18" s="134" t="s">
        <v>180</v>
      </c>
      <c r="C18" s="125"/>
      <c r="D18" s="125"/>
      <c r="E18" s="125"/>
      <c r="F18" s="135"/>
      <c r="G18" s="20"/>
      <c r="H18" s="20"/>
      <c r="I18" s="20"/>
      <c r="J18" s="20"/>
      <c r="K18" s="20"/>
      <c r="L18" s="20"/>
      <c r="M18" s="20"/>
      <c r="N18" s="20"/>
      <c r="O18" s="20"/>
      <c r="P18" s="20"/>
      <c r="Q18" s="20"/>
      <c r="R18" s="20"/>
      <c r="S18" s="20"/>
      <c r="T18" s="20"/>
      <c r="U18" s="20"/>
      <c r="V18" s="20"/>
      <c r="W18" s="20"/>
      <c r="X18" s="20"/>
      <c r="Y18" s="20"/>
      <c r="Z18" s="20"/>
    </row>
    <row r="19" spans="1:26" ht="16.5" customHeight="1" x14ac:dyDescent="0.4">
      <c r="A19" s="1"/>
      <c r="B19" s="108" t="s">
        <v>181</v>
      </c>
      <c r="C19" s="109"/>
      <c r="D19" s="109"/>
      <c r="E19" s="107"/>
      <c r="F19" s="21">
        <f>IF(EMPREG_POR_POSTO="","",EMPREG_POR_POSTO)</f>
        <v>1</v>
      </c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</row>
    <row r="20" spans="1:26" ht="16.5" customHeight="1" x14ac:dyDescent="0.4">
      <c r="A20" s="1"/>
      <c r="B20" s="22" t="s">
        <v>34</v>
      </c>
      <c r="C20" s="1"/>
      <c r="D20" s="1"/>
      <c r="E20" s="23"/>
      <c r="F20" s="23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</row>
    <row r="21" spans="1:26" ht="16.5" customHeight="1" x14ac:dyDescent="0.4">
      <c r="A21" s="1"/>
      <c r="B21" s="9">
        <v>1</v>
      </c>
      <c r="C21" s="110" t="s">
        <v>35</v>
      </c>
      <c r="D21" s="109"/>
      <c r="E21" s="107"/>
      <c r="F21" s="24" t="s">
        <v>80</v>
      </c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</row>
    <row r="22" spans="1:26" ht="16.5" customHeight="1" x14ac:dyDescent="0.4">
      <c r="A22" s="1"/>
      <c r="B22" s="9" t="s">
        <v>11</v>
      </c>
      <c r="C22" s="114" t="s">
        <v>182</v>
      </c>
      <c r="D22" s="109"/>
      <c r="E22" s="107"/>
      <c r="F22" s="25">
        <f>SALARIO_BASE</f>
        <v>2749.17</v>
      </c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</row>
    <row r="23" spans="1:26" ht="16.5" customHeight="1" x14ac:dyDescent="0.4">
      <c r="A23" s="1"/>
      <c r="B23" s="9" t="s">
        <v>13</v>
      </c>
      <c r="C23" s="106" t="s">
        <v>183</v>
      </c>
      <c r="D23" s="109"/>
      <c r="E23" s="107"/>
      <c r="F23" s="26">
        <f>PERC_ADIC_PERIC%*SALARIO_BASE</f>
        <v>0</v>
      </c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</row>
    <row r="24" spans="1:26" ht="15.75" customHeight="1" x14ac:dyDescent="0.4">
      <c r="A24" s="1"/>
      <c r="B24" s="9" t="s">
        <v>15</v>
      </c>
      <c r="C24" s="111" t="s">
        <v>186</v>
      </c>
      <c r="D24" s="109"/>
      <c r="E24" s="107"/>
      <c r="F24" s="25">
        <f>PERC_ADIC_INS%*SAL_MINIMO</f>
        <v>0</v>
      </c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</row>
    <row r="25" spans="1:26" ht="16.5" customHeight="1" x14ac:dyDescent="0.4">
      <c r="A25" s="1"/>
      <c r="B25" s="9" t="s">
        <v>17</v>
      </c>
      <c r="C25" s="115" t="str">
        <f>OUTROS_REMUNERACAO_1_DESCRICAO</f>
        <v>Outras Remunerações 1 (Especificar)</v>
      </c>
      <c r="D25" s="109"/>
      <c r="E25" s="107"/>
      <c r="F25" s="26">
        <f>OUTROS_REMUNERACAO_1</f>
        <v>0</v>
      </c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</row>
    <row r="26" spans="1:26" ht="16.5" customHeight="1" x14ac:dyDescent="0.4">
      <c r="A26" s="1"/>
      <c r="B26" s="9" t="s">
        <v>19</v>
      </c>
      <c r="C26" s="114" t="str">
        <f>OUTROS_REMUNERACAO_2_DESCRICAO</f>
        <v>Outras Remunerações 2 (Especificar)</v>
      </c>
      <c r="D26" s="109"/>
      <c r="E26" s="107"/>
      <c r="F26" s="25">
        <f>OUTROS_REMUNERACAO_2</f>
        <v>0</v>
      </c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</row>
    <row r="27" spans="1:26" ht="16.5" customHeight="1" x14ac:dyDescent="0.4">
      <c r="A27" s="1"/>
      <c r="B27" s="9" t="s">
        <v>42</v>
      </c>
      <c r="C27" s="115" t="str">
        <f>OUTROS_REMUNERACAO_3_DESCRICAO</f>
        <v>Outras Remunerações 3 (Especificar)</v>
      </c>
      <c r="D27" s="109"/>
      <c r="E27" s="107"/>
      <c r="F27" s="26">
        <f>OUTROS_REMUNERACAO_3</f>
        <v>0</v>
      </c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</row>
    <row r="28" spans="1:26" ht="16.5" customHeight="1" x14ac:dyDescent="0.4">
      <c r="A28" s="1"/>
      <c r="B28" s="110" t="s">
        <v>150</v>
      </c>
      <c r="C28" s="109"/>
      <c r="D28" s="109"/>
      <c r="E28" s="107"/>
      <c r="F28" s="27">
        <f>SUM(F22:F27)</f>
        <v>2749.17</v>
      </c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</row>
    <row r="29" spans="1:26" ht="16.5" customHeight="1" x14ac:dyDescent="0.4">
      <c r="A29" s="1"/>
      <c r="B29" s="22" t="s">
        <v>46</v>
      </c>
      <c r="C29" s="1"/>
      <c r="D29" s="1"/>
      <c r="E29" s="28"/>
      <c r="F29" s="28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</row>
    <row r="30" spans="1:26" ht="16.5" customHeight="1" x14ac:dyDescent="0.4">
      <c r="A30" s="1"/>
      <c r="B30" s="22" t="s">
        <v>132</v>
      </c>
      <c r="C30" s="29"/>
      <c r="D30" s="30"/>
      <c r="E30" s="31"/>
      <c r="F30" s="3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</row>
    <row r="31" spans="1:26" ht="16.5" customHeight="1" x14ac:dyDescent="0.4">
      <c r="A31" s="1"/>
      <c r="B31" s="9" t="s">
        <v>133</v>
      </c>
      <c r="C31" s="108" t="s">
        <v>134</v>
      </c>
      <c r="D31" s="107"/>
      <c r="E31" s="24" t="s">
        <v>73</v>
      </c>
      <c r="F31" s="24" t="s">
        <v>80</v>
      </c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</row>
    <row r="32" spans="1:26" ht="16.5" customHeight="1" x14ac:dyDescent="0.4">
      <c r="A32" s="1"/>
      <c r="B32" s="9" t="s">
        <v>11</v>
      </c>
      <c r="C32" s="111" t="s">
        <v>136</v>
      </c>
      <c r="D32" s="107"/>
      <c r="E32" s="32">
        <f>PERC_DEC_TERC</f>
        <v>8.3333333333333321</v>
      </c>
      <c r="F32" s="33">
        <f>PERC_DEC_TERC%*'POSTO 40 HORAS'!MOD_1_REMUNERACAO_44H</f>
        <v>229.09749999999997</v>
      </c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</row>
    <row r="33" spans="1:26" ht="16.5" customHeight="1" x14ac:dyDescent="0.4">
      <c r="A33" s="1"/>
      <c r="B33" s="24" t="s">
        <v>13</v>
      </c>
      <c r="C33" s="106" t="s">
        <v>138</v>
      </c>
      <c r="D33" s="107"/>
      <c r="E33" s="34">
        <f>PERC_ADIC_FERIAS</f>
        <v>2.7777777777777777</v>
      </c>
      <c r="F33" s="35">
        <f>PERC_ADIC_FERIAS%*'POSTO 40 HORAS'!MOD_1_REMUNERACAO_44H</f>
        <v>76.365833333333327</v>
      </c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</row>
    <row r="34" spans="1:26" ht="16.5" customHeight="1" x14ac:dyDescent="0.4">
      <c r="A34" s="36"/>
      <c r="B34" s="108" t="s">
        <v>150</v>
      </c>
      <c r="C34" s="109"/>
      <c r="D34" s="109"/>
      <c r="E34" s="107"/>
      <c r="F34" s="37">
        <f>SUM(F32:F33)</f>
        <v>305.46333333333331</v>
      </c>
      <c r="G34" s="36"/>
      <c r="H34" s="36"/>
      <c r="I34" s="36"/>
      <c r="J34" s="36"/>
      <c r="K34" s="36"/>
      <c r="L34" s="36"/>
      <c r="M34" s="36"/>
      <c r="N34" s="36"/>
      <c r="O34" s="36"/>
      <c r="P34" s="36"/>
      <c r="Q34" s="36"/>
      <c r="R34" s="36"/>
      <c r="S34" s="36"/>
      <c r="T34" s="36"/>
      <c r="U34" s="36"/>
      <c r="V34" s="36"/>
      <c r="W34" s="36"/>
      <c r="X34" s="36"/>
      <c r="Y34" s="36"/>
      <c r="Z34" s="36"/>
    </row>
    <row r="35" spans="1:26" ht="31.5" customHeight="1" x14ac:dyDescent="0.4">
      <c r="A35" s="36"/>
      <c r="B35" s="136" t="s">
        <v>140</v>
      </c>
      <c r="C35" s="122"/>
      <c r="D35" s="122"/>
      <c r="E35" s="122"/>
      <c r="F35" s="123"/>
      <c r="G35" s="36"/>
      <c r="H35" s="36"/>
      <c r="I35" s="36"/>
      <c r="J35" s="36"/>
      <c r="K35" s="36"/>
      <c r="L35" s="36"/>
      <c r="M35" s="36"/>
      <c r="N35" s="36"/>
      <c r="O35" s="36"/>
      <c r="P35" s="36"/>
      <c r="Q35" s="36"/>
      <c r="R35" s="36"/>
      <c r="S35" s="36"/>
      <c r="T35" s="36"/>
      <c r="U35" s="36"/>
      <c r="V35" s="36"/>
      <c r="W35" s="36"/>
      <c r="X35" s="36"/>
      <c r="Y35" s="36"/>
      <c r="Z35" s="36"/>
    </row>
    <row r="36" spans="1:26" ht="34.5" customHeight="1" x14ac:dyDescent="0.4">
      <c r="A36" s="36"/>
      <c r="B36" s="9" t="s">
        <v>48</v>
      </c>
      <c r="C36" s="110" t="s">
        <v>141</v>
      </c>
      <c r="D36" s="107"/>
      <c r="E36" s="24" t="s">
        <v>73</v>
      </c>
      <c r="F36" s="24" t="s">
        <v>80</v>
      </c>
      <c r="G36" s="36"/>
      <c r="H36" s="36"/>
      <c r="I36" s="36"/>
      <c r="J36" s="36"/>
      <c r="K36" s="36"/>
      <c r="L36" s="36"/>
      <c r="M36" s="36"/>
      <c r="N36" s="36"/>
      <c r="O36" s="36"/>
      <c r="P36" s="36"/>
      <c r="Q36" s="36"/>
      <c r="R36" s="36"/>
      <c r="S36" s="36"/>
      <c r="T36" s="36"/>
      <c r="U36" s="36"/>
      <c r="V36" s="36"/>
      <c r="W36" s="36"/>
      <c r="X36" s="36"/>
      <c r="Y36" s="36"/>
      <c r="Z36" s="36"/>
    </row>
    <row r="37" spans="1:26" ht="16.5" customHeight="1" x14ac:dyDescent="0.4">
      <c r="A37" s="1"/>
      <c r="B37" s="9" t="s">
        <v>11</v>
      </c>
      <c r="C37" s="111" t="s">
        <v>142</v>
      </c>
      <c r="D37" s="107"/>
      <c r="E37" s="32">
        <f>PERC_INSS</f>
        <v>20</v>
      </c>
      <c r="F37" s="33">
        <f>PERC_INSS%*('POSTO 40 HORAS'!MOD_1_REMUNERACAO_44H+SUBMOD_2_1_DEC_TERC_ADIC_FERIAS_44H)</f>
        <v>610.92666666666662</v>
      </c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</row>
    <row r="38" spans="1:26" ht="16.5" customHeight="1" x14ac:dyDescent="0.35">
      <c r="A38" s="5"/>
      <c r="B38" s="24" t="s">
        <v>13</v>
      </c>
      <c r="C38" s="106" t="s">
        <v>143</v>
      </c>
      <c r="D38" s="107"/>
      <c r="E38" s="38">
        <f>PERC_SAL_EDUCACAO</f>
        <v>2.5</v>
      </c>
      <c r="F38" s="35">
        <f>PERC_SAL_EDUCACAO%*('POSTO 40 HORAS'!MOD_1_REMUNERACAO_44H+SUBMOD_2_1_DEC_TERC_ADIC_FERIAS_44H)</f>
        <v>76.365833333333327</v>
      </c>
      <c r="G38" s="5"/>
      <c r="H38" s="5"/>
      <c r="I38" s="5"/>
      <c r="J38" s="5"/>
      <c r="K38" s="5"/>
      <c r="L38" s="5"/>
      <c r="M38" s="5"/>
      <c r="N38" s="5"/>
      <c r="O38" s="5"/>
      <c r="P38" s="5"/>
      <c r="Q38" s="5"/>
      <c r="R38" s="5"/>
      <c r="S38" s="5"/>
      <c r="T38" s="5"/>
      <c r="U38" s="5"/>
      <c r="V38" s="5"/>
      <c r="W38" s="5"/>
      <c r="X38" s="5"/>
      <c r="Y38" s="5"/>
      <c r="Z38" s="5"/>
    </row>
    <row r="39" spans="1:26" ht="16.5" customHeight="1" x14ac:dyDescent="0.35">
      <c r="A39" s="5"/>
      <c r="B39" s="24" t="s">
        <v>15</v>
      </c>
      <c r="C39" s="111" t="s">
        <v>144</v>
      </c>
      <c r="D39" s="107"/>
      <c r="E39" s="32">
        <f>PERC_RAT</f>
        <v>6</v>
      </c>
      <c r="F39" s="33">
        <f>PERC_RAT%*('POSTO 40 HORAS'!MOD_1_REMUNERACAO_44H+SUBMOD_2_1_DEC_TERC_ADIC_FERIAS_44H)</f>
        <v>183.27799999999999</v>
      </c>
      <c r="G39" s="5"/>
      <c r="H39" s="5"/>
      <c r="I39" s="5"/>
      <c r="J39" s="5"/>
      <c r="K39" s="5"/>
      <c r="L39" s="5"/>
      <c r="M39" s="5"/>
      <c r="N39" s="5"/>
      <c r="O39" s="5"/>
      <c r="P39" s="5"/>
      <c r="Q39" s="5"/>
      <c r="R39" s="5"/>
      <c r="S39" s="5"/>
      <c r="T39" s="5"/>
      <c r="U39" s="5"/>
      <c r="V39" s="5"/>
      <c r="W39" s="5"/>
      <c r="X39" s="5"/>
      <c r="Y39" s="5"/>
      <c r="Z39" s="5"/>
    </row>
    <row r="40" spans="1:26" ht="16.5" customHeight="1" x14ac:dyDescent="0.35">
      <c r="A40" s="5"/>
      <c r="B40" s="24" t="s">
        <v>17</v>
      </c>
      <c r="C40" s="106" t="s">
        <v>145</v>
      </c>
      <c r="D40" s="107"/>
      <c r="E40" s="34">
        <f>PERC_SESC</f>
        <v>1.5</v>
      </c>
      <c r="F40" s="35">
        <f>PERC_SESC%*('POSTO 40 HORAS'!MOD_1_REMUNERACAO_44H+SUBMOD_2_1_DEC_TERC_ADIC_FERIAS_44H)</f>
        <v>45.819499999999998</v>
      </c>
      <c r="G40" s="5"/>
      <c r="H40" s="5"/>
      <c r="I40" s="5"/>
      <c r="J40" s="5"/>
      <c r="K40" s="5"/>
      <c r="L40" s="5"/>
      <c r="M40" s="5"/>
      <c r="N40" s="5"/>
      <c r="O40" s="5"/>
      <c r="P40" s="5"/>
      <c r="Q40" s="5"/>
      <c r="R40" s="5"/>
      <c r="S40" s="5"/>
      <c r="T40" s="5"/>
      <c r="U40" s="5"/>
      <c r="V40" s="5"/>
      <c r="W40" s="5"/>
      <c r="X40" s="5"/>
      <c r="Y40" s="5"/>
      <c r="Z40" s="5"/>
    </row>
    <row r="41" spans="1:26" ht="16.5" customHeight="1" x14ac:dyDescent="0.35">
      <c r="A41" s="5"/>
      <c r="B41" s="24" t="s">
        <v>19</v>
      </c>
      <c r="C41" s="111" t="s">
        <v>146</v>
      </c>
      <c r="D41" s="107"/>
      <c r="E41" s="32">
        <f>PERC_SENAC</f>
        <v>1</v>
      </c>
      <c r="F41" s="33">
        <f>PERC_SENAC%*('POSTO 40 HORAS'!MOD_1_REMUNERACAO_44H+SUBMOD_2_1_DEC_TERC_ADIC_FERIAS_44H)</f>
        <v>30.546333333333333</v>
      </c>
      <c r="G41" s="5"/>
      <c r="H41" s="5"/>
      <c r="I41" s="5"/>
      <c r="J41" s="5"/>
      <c r="K41" s="5"/>
      <c r="L41" s="5"/>
      <c r="M41" s="5"/>
      <c r="N41" s="5"/>
      <c r="O41" s="5"/>
      <c r="P41" s="5"/>
      <c r="Q41" s="5"/>
      <c r="R41" s="5"/>
      <c r="S41" s="5"/>
      <c r="T41" s="5"/>
      <c r="U41" s="5"/>
      <c r="V41" s="5"/>
      <c r="W41" s="5"/>
      <c r="X41" s="5"/>
      <c r="Y41" s="5"/>
      <c r="Z41" s="5"/>
    </row>
    <row r="42" spans="1:26" ht="16.5" customHeight="1" x14ac:dyDescent="0.35">
      <c r="A42" s="5"/>
      <c r="B42" s="24" t="s">
        <v>42</v>
      </c>
      <c r="C42" s="106" t="s">
        <v>147</v>
      </c>
      <c r="D42" s="107"/>
      <c r="E42" s="38">
        <f>PERC_SEBRAE</f>
        <v>0.6</v>
      </c>
      <c r="F42" s="35">
        <f>PERC_SEBRAE%*('POSTO 40 HORAS'!MOD_1_REMUNERACAO_44H+SUBMOD_2_1_DEC_TERC_ADIC_FERIAS_44H)</f>
        <v>18.3278</v>
      </c>
      <c r="G42" s="5"/>
      <c r="H42" s="5"/>
      <c r="I42" s="5"/>
      <c r="J42" s="5"/>
      <c r="K42" s="5"/>
      <c r="L42" s="5"/>
      <c r="M42" s="5"/>
      <c r="N42" s="5"/>
      <c r="O42" s="5"/>
      <c r="P42" s="5"/>
      <c r="Q42" s="5"/>
      <c r="R42" s="5"/>
      <c r="S42" s="5"/>
      <c r="T42" s="5"/>
      <c r="U42" s="5"/>
      <c r="V42" s="5"/>
      <c r="W42" s="5"/>
      <c r="X42" s="5"/>
      <c r="Y42" s="5"/>
      <c r="Z42" s="5"/>
    </row>
    <row r="43" spans="1:26" ht="16.5" customHeight="1" x14ac:dyDescent="0.35">
      <c r="A43" s="5"/>
      <c r="B43" s="24" t="s">
        <v>44</v>
      </c>
      <c r="C43" s="111" t="s">
        <v>148</v>
      </c>
      <c r="D43" s="107"/>
      <c r="E43" s="32">
        <f>PERC_INCRA</f>
        <v>0.2</v>
      </c>
      <c r="F43" s="33">
        <f>PERC_INCRA%*('POSTO 40 HORAS'!MOD_1_REMUNERACAO_44H+SUBMOD_2_1_DEC_TERC_ADIC_FERIAS_44H)</f>
        <v>6.1092666666666666</v>
      </c>
      <c r="G43" s="5"/>
      <c r="H43" s="5"/>
      <c r="I43" s="5"/>
      <c r="J43" s="5"/>
      <c r="K43" s="5"/>
      <c r="L43" s="5"/>
      <c r="M43" s="5"/>
      <c r="N43" s="5"/>
      <c r="O43" s="5"/>
      <c r="P43" s="5"/>
      <c r="Q43" s="5"/>
      <c r="R43" s="5"/>
      <c r="S43" s="5"/>
      <c r="T43" s="5"/>
      <c r="U43" s="5"/>
      <c r="V43" s="5"/>
      <c r="W43" s="5"/>
      <c r="X43" s="5"/>
      <c r="Y43" s="5"/>
      <c r="Z43" s="5"/>
    </row>
    <row r="44" spans="1:26" ht="16.5" customHeight="1" x14ac:dyDescent="0.4">
      <c r="A44" s="1"/>
      <c r="B44" s="24" t="s">
        <v>129</v>
      </c>
      <c r="C44" s="106" t="s">
        <v>149</v>
      </c>
      <c r="D44" s="107"/>
      <c r="E44" s="38">
        <f>PERC_FGTS</f>
        <v>8</v>
      </c>
      <c r="F44" s="35">
        <f>PERC_FGTS%*('POSTO 40 HORAS'!MOD_1_REMUNERACAO_44H+SUBMOD_2_1_DEC_TERC_ADIC_FERIAS_44H)</f>
        <v>244.37066666666666</v>
      </c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</row>
    <row r="45" spans="1:26" ht="16.5" customHeight="1" x14ac:dyDescent="0.4">
      <c r="A45" s="1"/>
      <c r="B45" s="108" t="s">
        <v>150</v>
      </c>
      <c r="C45" s="109"/>
      <c r="D45" s="109"/>
      <c r="E45" s="107"/>
      <c r="F45" s="39">
        <f>SUM(F37:F44)</f>
        <v>1215.7440666666666</v>
      </c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</row>
    <row r="46" spans="1:26" ht="15.75" customHeight="1" x14ac:dyDescent="0.4">
      <c r="A46" s="1"/>
      <c r="B46" s="22" t="s">
        <v>52</v>
      </c>
      <c r="C46" s="5"/>
      <c r="D46" s="5"/>
      <c r="E46" s="5"/>
      <c r="F46" s="5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</row>
    <row r="47" spans="1:26" ht="15.75" customHeight="1" x14ac:dyDescent="0.4">
      <c r="A47" s="1"/>
      <c r="B47" s="9" t="s">
        <v>53</v>
      </c>
      <c r="C47" s="110" t="s">
        <v>54</v>
      </c>
      <c r="D47" s="109"/>
      <c r="E47" s="107"/>
      <c r="F47" s="24" t="s">
        <v>80</v>
      </c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</row>
    <row r="48" spans="1:26" ht="16.5" customHeight="1" x14ac:dyDescent="0.4">
      <c r="A48" s="1"/>
      <c r="B48" s="7" t="s">
        <v>11</v>
      </c>
      <c r="C48" s="111" t="s">
        <v>56</v>
      </c>
      <c r="D48" s="109"/>
      <c r="E48" s="107"/>
      <c r="F48" s="33">
        <f>IF(((TRANSPORTE_POR_DIA*DIAS_UTEIS_TRABALHADOS_NO_MES_44HORAS)-(PERC_DESC_TRANSP_REMUNERACAO%*('POSTO 40 HORAS'!AL_1_A_SAL_BASE_44H)))&gt;0,((TRANSPORTE_POR_DIA*DIAS_UTEIS_TRABALHADOS_NO_MES_44HORAS)-(PERC_DESC_TRANSP_REMUNERACAO%*('POSTO 40 HORAS'!AL_1_A_SAL_BASE_44H))),0)</f>
        <v>66.049800000000005</v>
      </c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</row>
    <row r="49" spans="1:26" ht="16.5" customHeight="1" x14ac:dyDescent="0.4">
      <c r="A49" s="36"/>
      <c r="B49" s="7" t="s">
        <v>13</v>
      </c>
      <c r="C49" s="106" t="s">
        <v>58</v>
      </c>
      <c r="D49" s="109"/>
      <c r="E49" s="107"/>
      <c r="F49" s="35">
        <f>IF(AND(ADESAO_AO_PAT="Sim",PERC_PAT&lt;&gt;""),ALIMENTACAO_POR_DIA*DIAS_UTEIS_TRABALHADOS_NO_MES_44HORAS*(100-PERC_PAT)%,IF(AND(ADESAO_AO_PAT="Sim",PERC_PAT=""),"Insira o % do PAT",ALIMENTACAO_POR_DIA*DIAS_UTEIS_TRABALHADOS_NO_MES_44HORAS))</f>
        <v>973.98</v>
      </c>
      <c r="G49" s="36"/>
      <c r="H49" s="36"/>
      <c r="I49" s="36"/>
      <c r="J49" s="36"/>
      <c r="K49" s="36"/>
      <c r="L49" s="36"/>
      <c r="M49" s="36"/>
      <c r="N49" s="36"/>
      <c r="O49" s="36"/>
      <c r="P49" s="36"/>
      <c r="Q49" s="36"/>
      <c r="R49" s="36"/>
      <c r="S49" s="36"/>
      <c r="T49" s="36"/>
      <c r="U49" s="36"/>
      <c r="V49" s="36"/>
      <c r="W49" s="36"/>
      <c r="X49" s="36"/>
      <c r="Y49" s="36"/>
      <c r="Z49" s="36"/>
    </row>
    <row r="50" spans="1:26" ht="16.5" customHeight="1" x14ac:dyDescent="0.4">
      <c r="A50" s="36"/>
      <c r="B50" s="7" t="s">
        <v>15</v>
      </c>
      <c r="C50" s="114" t="str">
        <f>OUTROS_BENEFICIOS_1_DESCRICAO</f>
        <v>Outros Benefícios 1 (Especificar)</v>
      </c>
      <c r="D50" s="109"/>
      <c r="E50" s="107"/>
      <c r="F50" s="33">
        <f>OUTROS_BENEFICIOS_1</f>
        <v>0</v>
      </c>
      <c r="G50" s="36"/>
      <c r="H50" s="36"/>
      <c r="I50" s="36"/>
      <c r="J50" s="36"/>
      <c r="K50" s="36"/>
      <c r="L50" s="36"/>
      <c r="M50" s="36"/>
      <c r="N50" s="36"/>
      <c r="O50" s="36"/>
      <c r="P50" s="36"/>
      <c r="Q50" s="36"/>
      <c r="R50" s="36"/>
      <c r="S50" s="36"/>
      <c r="T50" s="36"/>
      <c r="U50" s="36"/>
      <c r="V50" s="36"/>
      <c r="W50" s="36"/>
      <c r="X50" s="36"/>
      <c r="Y50" s="36"/>
      <c r="Z50" s="36"/>
    </row>
    <row r="51" spans="1:26" ht="16.5" customHeight="1" x14ac:dyDescent="0.4">
      <c r="A51" s="36"/>
      <c r="B51" s="7" t="s">
        <v>17</v>
      </c>
      <c r="C51" s="115" t="str">
        <f>OUTROS_BENEFICIOS_2_DESCRICAO</f>
        <v>Outros Benefícios 2 (Especificar)</v>
      </c>
      <c r="D51" s="109"/>
      <c r="E51" s="107"/>
      <c r="F51" s="35">
        <f>OUTROS_BENEFICIOS_2</f>
        <v>0</v>
      </c>
      <c r="G51" s="36"/>
      <c r="H51" s="36"/>
      <c r="I51" s="36"/>
      <c r="J51" s="36"/>
      <c r="K51" s="36"/>
      <c r="L51" s="36"/>
      <c r="M51" s="36"/>
      <c r="N51" s="36"/>
      <c r="O51" s="36"/>
      <c r="P51" s="36"/>
      <c r="Q51" s="36"/>
      <c r="R51" s="36"/>
      <c r="S51" s="36"/>
      <c r="T51" s="36"/>
      <c r="U51" s="36"/>
      <c r="V51" s="36"/>
      <c r="W51" s="36"/>
      <c r="X51" s="36"/>
      <c r="Y51" s="36"/>
      <c r="Z51" s="36"/>
    </row>
    <row r="52" spans="1:26" ht="16.5" customHeight="1" x14ac:dyDescent="0.4">
      <c r="A52" s="36"/>
      <c r="B52" s="7" t="s">
        <v>19</v>
      </c>
      <c r="C52" s="114" t="str">
        <f>OUTROS_BENEFICIOS_3_DESCRICAO</f>
        <v>Outros Benefícios 3 (Especificar)</v>
      </c>
      <c r="D52" s="109"/>
      <c r="E52" s="107"/>
      <c r="F52" s="33">
        <f>OUTROS_BENEFICIOS_3</f>
        <v>0</v>
      </c>
      <c r="G52" s="36"/>
      <c r="H52" s="36"/>
      <c r="I52" s="36"/>
      <c r="J52" s="36"/>
      <c r="K52" s="36"/>
      <c r="L52" s="36"/>
      <c r="M52" s="36"/>
      <c r="N52" s="36"/>
      <c r="O52" s="36"/>
      <c r="P52" s="36"/>
      <c r="Q52" s="36"/>
      <c r="R52" s="36"/>
      <c r="S52" s="36"/>
      <c r="T52" s="36"/>
      <c r="U52" s="36"/>
      <c r="V52" s="36"/>
      <c r="W52" s="36"/>
      <c r="X52" s="36"/>
      <c r="Y52" s="36"/>
      <c r="Z52" s="36"/>
    </row>
    <row r="53" spans="1:26" ht="15" customHeight="1" x14ac:dyDescent="0.4">
      <c r="A53" s="36"/>
      <c r="B53" s="110" t="s">
        <v>150</v>
      </c>
      <c r="C53" s="109"/>
      <c r="D53" s="109"/>
      <c r="E53" s="107"/>
      <c r="F53" s="27">
        <f>SUM(F48:F52)</f>
        <v>1040.0298</v>
      </c>
      <c r="G53" s="36"/>
      <c r="H53" s="36"/>
      <c r="I53" s="36"/>
      <c r="J53" s="36"/>
      <c r="K53" s="36"/>
      <c r="L53" s="36"/>
      <c r="M53" s="36"/>
      <c r="N53" s="36"/>
      <c r="O53" s="36"/>
      <c r="P53" s="36"/>
      <c r="Q53" s="36"/>
      <c r="R53" s="36"/>
      <c r="S53" s="36"/>
      <c r="T53" s="36"/>
      <c r="U53" s="36"/>
      <c r="V53" s="36"/>
      <c r="W53" s="36"/>
      <c r="X53" s="36"/>
      <c r="Y53" s="36"/>
      <c r="Z53" s="36"/>
    </row>
    <row r="54" spans="1:26" ht="16.5" customHeight="1" x14ac:dyDescent="0.4">
      <c r="A54" s="36"/>
      <c r="B54" s="22" t="s">
        <v>114</v>
      </c>
      <c r="C54" s="29"/>
      <c r="D54" s="30"/>
      <c r="E54" s="31"/>
      <c r="F54" s="31"/>
      <c r="G54" s="36"/>
      <c r="H54" s="36"/>
      <c r="I54" s="36"/>
      <c r="J54" s="36"/>
      <c r="K54" s="36"/>
      <c r="L54" s="36"/>
      <c r="M54" s="36"/>
      <c r="N54" s="36"/>
      <c r="O54" s="36"/>
      <c r="P54" s="36"/>
      <c r="Q54" s="36"/>
      <c r="R54" s="36"/>
      <c r="S54" s="36"/>
      <c r="T54" s="36"/>
      <c r="U54" s="36"/>
      <c r="V54" s="36"/>
      <c r="W54" s="36"/>
      <c r="X54" s="36"/>
      <c r="Y54" s="36"/>
      <c r="Z54" s="36"/>
    </row>
    <row r="55" spans="1:26" ht="15" customHeight="1" x14ac:dyDescent="0.4">
      <c r="A55" s="36"/>
      <c r="B55" s="9">
        <v>3</v>
      </c>
      <c r="C55" s="108" t="s">
        <v>115</v>
      </c>
      <c r="D55" s="107"/>
      <c r="E55" s="24" t="s">
        <v>73</v>
      </c>
      <c r="F55" s="24" t="s">
        <v>80</v>
      </c>
      <c r="G55" s="36"/>
      <c r="H55" s="36"/>
      <c r="I55" s="36"/>
      <c r="J55" s="36"/>
      <c r="K55" s="36"/>
      <c r="L55" s="36"/>
      <c r="M55" s="36"/>
      <c r="N55" s="36"/>
      <c r="O55" s="36"/>
      <c r="P55" s="36"/>
      <c r="Q55" s="36"/>
      <c r="R55" s="36"/>
      <c r="S55" s="36"/>
      <c r="T55" s="36"/>
      <c r="U55" s="36"/>
      <c r="V55" s="36"/>
      <c r="W55" s="36"/>
      <c r="X55" s="36"/>
      <c r="Y55" s="36"/>
      <c r="Z55" s="36"/>
    </row>
    <row r="56" spans="1:26" ht="16.5" customHeight="1" x14ac:dyDescent="0.4">
      <c r="A56" s="36"/>
      <c r="B56" s="9" t="s">
        <v>11</v>
      </c>
      <c r="C56" s="113" t="s">
        <v>151</v>
      </c>
      <c r="D56" s="107"/>
      <c r="E56" s="32">
        <f>PERC_AVISO_PREVIO_IND</f>
        <v>0.29105124999999998</v>
      </c>
      <c r="F56" s="33">
        <f>PERC_AVISO_PREVIO_IND%*('POSTO 40 HORAS'!MOD_1_REMUNERACAO_44H+SUBMOD_2_1_DEC_TERC_ADIC_FERIAS_44H)</f>
        <v>8.8905484995833319</v>
      </c>
      <c r="G56" s="36"/>
      <c r="H56" s="36"/>
      <c r="I56" s="36"/>
      <c r="J56" s="36"/>
      <c r="K56" s="36"/>
      <c r="L56" s="36"/>
      <c r="M56" s="36"/>
      <c r="N56" s="36"/>
      <c r="O56" s="36"/>
      <c r="P56" s="36"/>
      <c r="Q56" s="36"/>
      <c r="R56" s="36"/>
      <c r="S56" s="36"/>
      <c r="T56" s="36"/>
      <c r="U56" s="36"/>
      <c r="V56" s="36"/>
      <c r="W56" s="36"/>
      <c r="X56" s="36"/>
      <c r="Y56" s="36"/>
      <c r="Z56" s="36"/>
    </row>
    <row r="57" spans="1:26" ht="16.5" customHeight="1" x14ac:dyDescent="0.4">
      <c r="A57" s="36"/>
      <c r="B57" s="24" t="s">
        <v>13</v>
      </c>
      <c r="C57" s="112" t="s">
        <v>153</v>
      </c>
      <c r="D57" s="107"/>
      <c r="E57" s="38">
        <f>INCID_FGTS_SOBRE_API</f>
        <v>2.3284099999999999E-2</v>
      </c>
      <c r="F57" s="35">
        <f>INCID_FGTS_SOBRE_API%*('POSTO 40 HORAS'!MOD_1_REMUNERACAO_44H+SUBMOD_2_1_DEC_TERC_ADIC_FERIAS_44H)</f>
        <v>0.7112438799666666</v>
      </c>
      <c r="G57" s="36"/>
      <c r="H57" s="36"/>
      <c r="I57" s="36"/>
      <c r="J57" s="36"/>
      <c r="K57" s="36"/>
      <c r="L57" s="36"/>
      <c r="M57" s="36"/>
      <c r="N57" s="36"/>
      <c r="O57" s="36"/>
      <c r="P57" s="36"/>
      <c r="Q57" s="36"/>
      <c r="R57" s="36"/>
      <c r="S57" s="36"/>
      <c r="T57" s="36"/>
      <c r="U57" s="36"/>
      <c r="V57" s="36"/>
      <c r="W57" s="36"/>
      <c r="X57" s="36"/>
      <c r="Y57" s="36"/>
      <c r="Z57" s="36"/>
    </row>
    <row r="58" spans="1:26" ht="16.5" customHeight="1" x14ac:dyDescent="0.35">
      <c r="A58" s="5"/>
      <c r="B58" s="24" t="s">
        <v>15</v>
      </c>
      <c r="C58" s="113" t="s">
        <v>155</v>
      </c>
      <c r="D58" s="107"/>
      <c r="E58" s="32">
        <f>PERC_MULTA_FGTS_AV_PREV_IND</f>
        <v>0.11176368</v>
      </c>
      <c r="F58" s="33">
        <f>PERC_MULTA_FGTS_AV_PREV_IND%*('POSTO 40 HORAS'!MOD_1_REMUNERACAO_44H+SUBMOD_2_1_DEC_TERC_ADIC_FERIAS_44H)</f>
        <v>3.4139706238400001</v>
      </c>
      <c r="G58" s="5"/>
      <c r="H58" s="5"/>
      <c r="I58" s="5"/>
      <c r="J58" s="5"/>
      <c r="K58" s="5"/>
      <c r="L58" s="5"/>
      <c r="M58" s="5"/>
      <c r="N58" s="5"/>
      <c r="O58" s="5"/>
      <c r="P58" s="5"/>
      <c r="Q58" s="5"/>
      <c r="R58" s="5"/>
      <c r="S58" s="5"/>
      <c r="T58" s="5"/>
      <c r="U58" s="5"/>
      <c r="V58" s="5"/>
      <c r="W58" s="5"/>
      <c r="X58" s="5"/>
      <c r="Y58" s="5"/>
      <c r="Z58" s="5"/>
    </row>
    <row r="59" spans="1:26" ht="16.5" customHeight="1" x14ac:dyDescent="0.35">
      <c r="A59" s="5"/>
      <c r="B59" s="24" t="s">
        <v>17</v>
      </c>
      <c r="C59" s="112" t="s">
        <v>157</v>
      </c>
      <c r="D59" s="107"/>
      <c r="E59" s="38">
        <f>PERC_AVISO_PREVIO_TRAB</f>
        <v>1.1557269305555555</v>
      </c>
      <c r="F59" s="35">
        <f>PERC_AVISO_PREVIO_TRAB%*('POSTO 40 HORAS'!MOD_1_REMUNERACAO_44H+SUBMOD_2_1_DEC_TERC_ADIC_FERIAS_44H)</f>
        <v>35.303220063060181</v>
      </c>
      <c r="G59" s="5"/>
      <c r="H59" s="5"/>
      <c r="I59" s="5"/>
      <c r="J59" s="5"/>
      <c r="K59" s="5"/>
      <c r="L59" s="5"/>
      <c r="M59" s="5"/>
      <c r="N59" s="5"/>
      <c r="O59" s="5"/>
      <c r="P59" s="5"/>
      <c r="Q59" s="5"/>
      <c r="R59" s="5"/>
      <c r="S59" s="5"/>
      <c r="T59" s="5"/>
      <c r="U59" s="5"/>
      <c r="V59" s="5"/>
      <c r="W59" s="5"/>
      <c r="X59" s="5"/>
      <c r="Y59" s="5"/>
      <c r="Z59" s="5"/>
    </row>
    <row r="60" spans="1:26" ht="16.5" customHeight="1" x14ac:dyDescent="0.35">
      <c r="A60" s="5"/>
      <c r="B60" s="24" t="s">
        <v>19</v>
      </c>
      <c r="C60" s="113" t="s">
        <v>159</v>
      </c>
      <c r="D60" s="107"/>
      <c r="E60" s="32">
        <f>INCID_SUBMOD_2_2_APT</f>
        <v>0.45997931836111106</v>
      </c>
      <c r="F60" s="33">
        <f>INCID_SUBMOD_2_2_APT%*('POSTO 40 HORAS'!MOD_1_REMUNERACAO_44H+SUBMOD_2_1_DEC_TERC_ADIC_FERIAS_44H)</f>
        <v>14.050681585097951</v>
      </c>
      <c r="G60" s="5"/>
      <c r="H60" s="5"/>
      <c r="I60" s="5"/>
      <c r="J60" s="5"/>
      <c r="K60" s="5"/>
      <c r="L60" s="5"/>
      <c r="M60" s="5"/>
      <c r="N60" s="5"/>
      <c r="O60" s="5"/>
      <c r="P60" s="5"/>
      <c r="Q60" s="5"/>
      <c r="R60" s="5"/>
      <c r="S60" s="5"/>
      <c r="T60" s="5"/>
      <c r="U60" s="5"/>
      <c r="V60" s="5"/>
      <c r="W60" s="5"/>
      <c r="X60" s="5"/>
      <c r="Y60" s="5"/>
      <c r="Z60" s="5"/>
    </row>
    <row r="61" spans="1:26" ht="16.5" customHeight="1" x14ac:dyDescent="0.35">
      <c r="A61" s="5"/>
      <c r="B61" s="24" t="s">
        <v>42</v>
      </c>
      <c r="C61" s="112" t="s">
        <v>161</v>
      </c>
      <c r="D61" s="107"/>
      <c r="E61" s="38">
        <f>PERC_MULTA_FGTS_AV_PREV_TRAB</f>
        <v>1.9019963200000001</v>
      </c>
      <c r="F61" s="35">
        <f>PERC_MULTA_FGTS_AV_PREV_TRAB%*('POSTO 40 HORAS'!MOD_1_REMUNERACAO_44H+SUBMOD_2_1_DEC_TERC_ADIC_FERIAS_44H)</f>
        <v>58.099013589493332</v>
      </c>
      <c r="G61" s="5"/>
      <c r="H61" s="5"/>
      <c r="I61" s="5"/>
      <c r="J61" s="5"/>
      <c r="K61" s="5"/>
      <c r="L61" s="5"/>
      <c r="M61" s="5"/>
      <c r="N61" s="5"/>
      <c r="O61" s="5"/>
      <c r="P61" s="5"/>
      <c r="Q61" s="5"/>
      <c r="R61" s="5"/>
      <c r="S61" s="5"/>
      <c r="T61" s="5"/>
      <c r="U61" s="5"/>
      <c r="V61" s="5"/>
      <c r="W61" s="5"/>
      <c r="X61" s="5"/>
      <c r="Y61" s="5"/>
      <c r="Z61" s="5"/>
    </row>
    <row r="62" spans="1:26" ht="16.5" customHeight="1" x14ac:dyDescent="0.4">
      <c r="A62" s="5"/>
      <c r="B62" s="108" t="s">
        <v>150</v>
      </c>
      <c r="C62" s="109"/>
      <c r="D62" s="109"/>
      <c r="E62" s="107"/>
      <c r="F62" s="37">
        <f>SUM(F56:F61)</f>
        <v>120.46867824104146</v>
      </c>
      <c r="G62" s="5"/>
      <c r="H62" s="5"/>
      <c r="I62" s="5"/>
      <c r="J62" s="5"/>
      <c r="K62" s="5"/>
      <c r="L62" s="5"/>
      <c r="M62" s="5"/>
      <c r="N62" s="5"/>
      <c r="O62" s="5"/>
      <c r="P62" s="5"/>
      <c r="Q62" s="5"/>
      <c r="R62" s="5"/>
      <c r="S62" s="5"/>
      <c r="T62" s="5"/>
      <c r="U62" s="5"/>
      <c r="V62" s="5"/>
      <c r="W62" s="5"/>
      <c r="X62" s="5"/>
      <c r="Y62" s="5"/>
      <c r="Z62" s="5"/>
    </row>
    <row r="63" spans="1:26" ht="7.5" customHeight="1" x14ac:dyDescent="0.4">
      <c r="A63" s="1"/>
      <c r="B63" s="40"/>
      <c r="C63" s="1"/>
      <c r="D63" s="41"/>
      <c r="E63" s="23"/>
      <c r="F63" s="23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</row>
    <row r="64" spans="1:26" ht="15.75" customHeight="1" x14ac:dyDescent="0.4">
      <c r="A64" s="5"/>
      <c r="B64" s="22" t="s">
        <v>69</v>
      </c>
      <c r="C64" s="29"/>
      <c r="D64" s="30"/>
      <c r="E64" s="1"/>
      <c r="F64" s="1"/>
      <c r="G64" s="5"/>
      <c r="H64" s="5"/>
      <c r="I64" s="5"/>
      <c r="J64" s="5"/>
      <c r="K64" s="5"/>
      <c r="L64" s="5"/>
      <c r="M64" s="5"/>
      <c r="N64" s="5"/>
      <c r="O64" s="5"/>
      <c r="P64" s="5"/>
      <c r="Q64" s="5"/>
      <c r="R64" s="5"/>
      <c r="S64" s="5"/>
      <c r="T64" s="5"/>
      <c r="U64" s="5"/>
      <c r="V64" s="5"/>
      <c r="W64" s="5"/>
      <c r="X64" s="5"/>
      <c r="Y64" s="5"/>
      <c r="Z64" s="5"/>
    </row>
    <row r="65" spans="1:26" ht="15.75" customHeight="1" x14ac:dyDescent="0.4">
      <c r="A65" s="5"/>
      <c r="B65" s="22" t="s">
        <v>70</v>
      </c>
      <c r="C65" s="29"/>
      <c r="D65" s="30"/>
      <c r="E65" s="31"/>
      <c r="F65" s="31"/>
      <c r="G65" s="5"/>
      <c r="H65" s="5"/>
      <c r="I65" s="5"/>
      <c r="J65" s="5"/>
      <c r="K65" s="5"/>
      <c r="L65" s="5"/>
      <c r="M65" s="5"/>
      <c r="N65" s="5"/>
      <c r="O65" s="5"/>
      <c r="P65" s="5"/>
      <c r="Q65" s="5"/>
      <c r="R65" s="5"/>
      <c r="S65" s="5"/>
      <c r="T65" s="5"/>
      <c r="U65" s="5"/>
      <c r="V65" s="5"/>
      <c r="W65" s="5"/>
      <c r="X65" s="5"/>
      <c r="Y65" s="5"/>
      <c r="Z65" s="5"/>
    </row>
    <row r="66" spans="1:26" ht="16.5" customHeight="1" x14ac:dyDescent="0.35">
      <c r="A66" s="5"/>
      <c r="B66" s="9" t="s">
        <v>71</v>
      </c>
      <c r="C66" s="110" t="s">
        <v>72</v>
      </c>
      <c r="D66" s="107"/>
      <c r="E66" s="24" t="s">
        <v>73</v>
      </c>
      <c r="F66" s="24" t="s">
        <v>80</v>
      </c>
      <c r="G66" s="5"/>
      <c r="H66" s="5"/>
      <c r="I66" s="5"/>
      <c r="J66" s="5"/>
      <c r="K66" s="5"/>
      <c r="L66" s="5"/>
      <c r="M66" s="5"/>
      <c r="N66" s="5"/>
      <c r="O66" s="5"/>
      <c r="P66" s="5"/>
      <c r="Q66" s="5"/>
      <c r="R66" s="5"/>
      <c r="S66" s="5"/>
      <c r="T66" s="5"/>
      <c r="U66" s="5"/>
      <c r="V66" s="5"/>
      <c r="W66" s="5"/>
      <c r="X66" s="5"/>
      <c r="Y66" s="5"/>
      <c r="Z66" s="5"/>
    </row>
    <row r="67" spans="1:26" ht="15.75" customHeight="1" x14ac:dyDescent="0.35">
      <c r="A67" s="5"/>
      <c r="B67" s="24" t="s">
        <v>11</v>
      </c>
      <c r="C67" s="111" t="s">
        <v>163</v>
      </c>
      <c r="D67" s="107"/>
      <c r="E67" s="32">
        <f>PERC_SUBSTITUTO_FERIAS</f>
        <v>8.3333333333333321</v>
      </c>
      <c r="F67" s="33">
        <f>PERC_SUBSTITUTO_FERIAS%*('POSTO 40 HORAS'!MOD_1_REMUNERACAO_44H+'POSTO 40 HORAS'!MOD_2_ENCARGOS_BENEFICIOS_44H)</f>
        <v>442.53393333333321</v>
      </c>
      <c r="G67" s="5"/>
      <c r="H67" s="5"/>
      <c r="I67" s="5"/>
      <c r="J67" s="5"/>
      <c r="K67" s="5"/>
      <c r="L67" s="5"/>
      <c r="M67" s="5"/>
      <c r="N67" s="5"/>
      <c r="O67" s="5"/>
      <c r="P67" s="5"/>
      <c r="Q67" s="5"/>
      <c r="R67" s="5"/>
      <c r="S67" s="5"/>
      <c r="T67" s="5"/>
      <c r="U67" s="5"/>
      <c r="V67" s="5"/>
      <c r="W67" s="5"/>
      <c r="X67" s="5"/>
      <c r="Y67" s="5"/>
      <c r="Z67" s="5"/>
    </row>
    <row r="68" spans="1:26" ht="15.75" customHeight="1" x14ac:dyDescent="0.35">
      <c r="A68" s="5"/>
      <c r="B68" s="24" t="s">
        <v>13</v>
      </c>
      <c r="C68" s="106" t="s">
        <v>165</v>
      </c>
      <c r="D68" s="107"/>
      <c r="E68" s="38">
        <f>PERC_SUBSTITUTO_AUSENCIAS_LEGAIS</f>
        <v>2.2222222222222223</v>
      </c>
      <c r="F68" s="35">
        <f>PERC_SUBSTITUTO_AUSENCIAS_LEGAIS%*('POSTO 40 HORAS'!MOD_1_REMUNERACAO_44H+'POSTO 40 HORAS'!MOD_2_ENCARGOS_BENEFICIOS_44H)</f>
        <v>118.00904888888888</v>
      </c>
      <c r="G68" s="5"/>
      <c r="H68" s="5"/>
      <c r="I68" s="5"/>
      <c r="J68" s="5"/>
      <c r="K68" s="5"/>
      <c r="L68" s="5"/>
      <c r="M68" s="5"/>
      <c r="N68" s="5"/>
      <c r="O68" s="5"/>
      <c r="P68" s="5"/>
      <c r="Q68" s="5"/>
      <c r="R68" s="5"/>
      <c r="S68" s="5"/>
      <c r="T68" s="5"/>
      <c r="U68" s="5"/>
      <c r="V68" s="5"/>
      <c r="W68" s="5"/>
      <c r="X68" s="5"/>
      <c r="Y68" s="5"/>
      <c r="Z68" s="5"/>
    </row>
    <row r="69" spans="1:26" ht="15.75" customHeight="1" x14ac:dyDescent="0.35">
      <c r="A69" s="5"/>
      <c r="B69" s="24" t="s">
        <v>15</v>
      </c>
      <c r="C69" s="111" t="s">
        <v>167</v>
      </c>
      <c r="D69" s="107"/>
      <c r="E69" s="32">
        <f>PERC_SUBSTITUTO_LICENCA_PATERNIDADE</f>
        <v>1.7051833333333329E-2</v>
      </c>
      <c r="F69" s="33">
        <f>PERC_SUBSTITUTO_LICENCA_PATERNIDADE%*('POSTO 40 HORAS'!MOD_1_REMUNERACAO_44H+'POSTO 40 HORAS'!MOD_2_ENCARGOS_BENEFICIOS_44H)</f>
        <v>0.90552178506533298</v>
      </c>
      <c r="G69" s="5"/>
      <c r="H69" s="5"/>
      <c r="I69" s="5"/>
      <c r="J69" s="5"/>
      <c r="K69" s="5"/>
      <c r="L69" s="5"/>
      <c r="M69" s="5"/>
      <c r="N69" s="5"/>
      <c r="O69" s="5"/>
      <c r="P69" s="5"/>
      <c r="Q69" s="5"/>
      <c r="R69" s="5"/>
      <c r="S69" s="5"/>
      <c r="T69" s="5"/>
      <c r="U69" s="5"/>
      <c r="V69" s="5"/>
      <c r="W69" s="5"/>
      <c r="X69" s="5"/>
      <c r="Y69" s="5"/>
      <c r="Z69" s="5"/>
    </row>
    <row r="70" spans="1:26" ht="16.5" customHeight="1" x14ac:dyDescent="0.35">
      <c r="A70" s="5"/>
      <c r="B70" s="24" t="s">
        <v>17</v>
      </c>
      <c r="C70" s="106" t="s">
        <v>169</v>
      </c>
      <c r="D70" s="107"/>
      <c r="E70" s="38">
        <f>PERC_SUBSTITUTO_ACID_TRAB</f>
        <v>1.85302229372558E-2</v>
      </c>
      <c r="F70" s="35">
        <f>PERC_SUBSTITUTO_ACID_TRAB%*('POSTO 40 HORAS'!MOD_1_REMUNERACAO_44H+'POSTO 40 HORAS'!MOD_2_ENCARGOS_BENEFICIOS_44H)</f>
        <v>0.98403029303608336</v>
      </c>
      <c r="G70" s="5"/>
      <c r="H70" s="5"/>
      <c r="I70" s="5"/>
      <c r="J70" s="5"/>
      <c r="K70" s="5"/>
      <c r="L70" s="5"/>
      <c r="M70" s="5"/>
      <c r="N70" s="5"/>
      <c r="O70" s="5"/>
      <c r="P70" s="5"/>
      <c r="Q70" s="5"/>
      <c r="R70" s="5"/>
      <c r="S70" s="5"/>
      <c r="T70" s="5"/>
      <c r="U70" s="5"/>
      <c r="V70" s="5"/>
      <c r="W70" s="5"/>
      <c r="X70" s="5"/>
      <c r="Y70" s="5"/>
      <c r="Z70" s="5"/>
    </row>
    <row r="71" spans="1:26" ht="16.5" customHeight="1" x14ac:dyDescent="0.35">
      <c r="A71" s="5"/>
      <c r="B71" s="24" t="s">
        <v>19</v>
      </c>
      <c r="C71" s="111" t="s">
        <v>171</v>
      </c>
      <c r="D71" s="107"/>
      <c r="E71" s="32">
        <f>PERC_SUBSTITUTO_AFAST_MATERN</f>
        <v>2.5507554666666658E-2</v>
      </c>
      <c r="F71" s="33">
        <f>PERC_SUBSTITUTO_AFAST_MATERN%*('POSTO 40 HORAS'!MOD_1_REMUNERACAO_44H+'POSTO 40 HORAS'!MOD_2_ENCARGOS_BENEFICIOS_44H)</f>
        <v>1.3545550195626022</v>
      </c>
      <c r="G71" s="5"/>
      <c r="H71" s="5"/>
      <c r="I71" s="5"/>
      <c r="J71" s="5"/>
      <c r="K71" s="5"/>
      <c r="L71" s="5"/>
      <c r="M71" s="5"/>
      <c r="N71" s="5"/>
      <c r="O71" s="5"/>
      <c r="P71" s="5"/>
      <c r="Q71" s="5"/>
      <c r="R71" s="5"/>
      <c r="S71" s="5"/>
      <c r="T71" s="5"/>
      <c r="U71" s="5"/>
      <c r="V71" s="5"/>
      <c r="W71" s="5"/>
      <c r="X71" s="5"/>
      <c r="Y71" s="5"/>
      <c r="Z71" s="5"/>
    </row>
    <row r="72" spans="1:26" ht="16.5" customHeight="1" x14ac:dyDescent="0.35">
      <c r="A72" s="5"/>
      <c r="B72" s="24" t="s">
        <v>42</v>
      </c>
      <c r="C72" s="116" t="str">
        <f>OUTRAS_AUSENCIAS_DESCRICAO</f>
        <v>Outras Ausências (Especificar em %)</v>
      </c>
      <c r="D72" s="107"/>
      <c r="E72" s="42">
        <f>PERC_SUBSTITUTO_OUTRAS_AUSENCIAS</f>
        <v>0</v>
      </c>
      <c r="F72" s="35">
        <f>PERC_SUBSTITUTO_OUTRAS_AUSENCIAS%*('POSTO 40 HORAS'!MOD_1_REMUNERACAO_44H+'POSTO 40 HORAS'!MOD_2_ENCARGOS_BENEFICIOS_44H)</f>
        <v>0</v>
      </c>
      <c r="G72" s="5"/>
      <c r="H72" s="5"/>
      <c r="I72" s="5"/>
      <c r="J72" s="5"/>
      <c r="K72" s="5"/>
      <c r="L72" s="5"/>
      <c r="M72" s="5"/>
      <c r="N72" s="5"/>
      <c r="O72" s="5"/>
      <c r="P72" s="5"/>
      <c r="Q72" s="5"/>
      <c r="R72" s="5"/>
      <c r="S72" s="5"/>
      <c r="T72" s="5"/>
      <c r="U72" s="5"/>
      <c r="V72" s="5"/>
      <c r="W72" s="5"/>
      <c r="X72" s="5"/>
      <c r="Y72" s="5"/>
      <c r="Z72" s="5"/>
    </row>
    <row r="73" spans="1:26" ht="16.5" customHeight="1" x14ac:dyDescent="0.4">
      <c r="A73" s="5"/>
      <c r="B73" s="108" t="s">
        <v>150</v>
      </c>
      <c r="C73" s="109"/>
      <c r="D73" s="109"/>
      <c r="E73" s="107"/>
      <c r="F73" s="37">
        <f>SUM(F67:F72)</f>
        <v>563.78708931988615</v>
      </c>
      <c r="G73" s="5"/>
      <c r="H73" s="5"/>
      <c r="I73" s="5"/>
      <c r="J73" s="5"/>
      <c r="K73" s="5"/>
      <c r="L73" s="5"/>
      <c r="M73" s="5"/>
      <c r="N73" s="5"/>
      <c r="O73" s="5"/>
      <c r="P73" s="5"/>
      <c r="Q73" s="5"/>
      <c r="R73" s="5"/>
      <c r="S73" s="5"/>
      <c r="T73" s="5"/>
      <c r="U73" s="5"/>
      <c r="V73" s="5"/>
      <c r="W73" s="5"/>
      <c r="X73" s="5"/>
      <c r="Y73" s="5"/>
      <c r="Z73" s="5"/>
    </row>
    <row r="74" spans="1:26" ht="7.5" customHeight="1" x14ac:dyDescent="0.4">
      <c r="A74" s="1"/>
      <c r="B74" s="40"/>
      <c r="C74" s="1"/>
      <c r="D74" s="41"/>
      <c r="E74" s="23"/>
      <c r="F74" s="23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</row>
    <row r="75" spans="1:26" ht="16.5" customHeight="1" x14ac:dyDescent="0.4">
      <c r="A75" s="1"/>
      <c r="B75" s="22" t="s">
        <v>78</v>
      </c>
      <c r="C75" s="29"/>
      <c r="D75" s="29"/>
      <c r="E75" s="31"/>
      <c r="F75" s="3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</row>
    <row r="76" spans="1:26" ht="15.75" customHeight="1" x14ac:dyDescent="0.4">
      <c r="A76" s="1"/>
      <c r="B76" s="43">
        <v>5</v>
      </c>
      <c r="C76" s="141" t="s">
        <v>79</v>
      </c>
      <c r="D76" s="138"/>
      <c r="E76" s="139"/>
      <c r="F76" s="44" t="s">
        <v>80</v>
      </c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</row>
    <row r="77" spans="1:26" ht="16.5" customHeight="1" x14ac:dyDescent="0.4">
      <c r="A77" s="1"/>
      <c r="B77" s="45" t="s">
        <v>11</v>
      </c>
      <c r="C77" s="137" t="s">
        <v>81</v>
      </c>
      <c r="D77" s="138"/>
      <c r="E77" s="139"/>
      <c r="F77" s="46">
        <f>UNIFORMES</f>
        <v>129.87</v>
      </c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</row>
    <row r="78" spans="1:26" ht="16.5" customHeight="1" x14ac:dyDescent="0.4">
      <c r="A78" s="1"/>
      <c r="B78" s="45" t="s">
        <v>13</v>
      </c>
      <c r="C78" s="143" t="s">
        <v>82</v>
      </c>
      <c r="D78" s="138"/>
      <c r="E78" s="139"/>
      <c r="F78" s="47">
        <f>MATERIAIS</f>
        <v>192.11</v>
      </c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</row>
    <row r="79" spans="1:26" ht="16.5" customHeight="1" x14ac:dyDescent="0.4">
      <c r="A79" s="1"/>
      <c r="B79" s="45" t="s">
        <v>15</v>
      </c>
      <c r="C79" s="137" t="s">
        <v>83</v>
      </c>
      <c r="D79" s="138"/>
      <c r="E79" s="139"/>
      <c r="F79" s="46">
        <f>EQUIPAMENTOS</f>
        <v>0.52</v>
      </c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</row>
    <row r="80" spans="1:26" ht="16.5" customHeight="1" x14ac:dyDescent="0.4">
      <c r="A80" s="1"/>
      <c r="B80" s="45" t="s">
        <v>17</v>
      </c>
      <c r="C80" s="140" t="str">
        <f>OUTROS_INSUMOS_DESCRICAO</f>
        <v>EPI</v>
      </c>
      <c r="D80" s="138"/>
      <c r="E80" s="139"/>
      <c r="F80" s="47">
        <f>OUTROS_INSUMOS</f>
        <v>19.36</v>
      </c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</row>
    <row r="81" spans="1:26" ht="16.5" customHeight="1" x14ac:dyDescent="0.4">
      <c r="A81" s="1"/>
      <c r="B81" s="141" t="s">
        <v>150</v>
      </c>
      <c r="C81" s="138"/>
      <c r="D81" s="138"/>
      <c r="E81" s="139"/>
      <c r="F81" s="48">
        <f>SUM(F77:F80)</f>
        <v>341.86</v>
      </c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</row>
    <row r="82" spans="1:26" ht="7.5" customHeight="1" x14ac:dyDescent="0.4">
      <c r="A82" s="1"/>
      <c r="B82" s="40"/>
      <c r="C82" s="1"/>
      <c r="D82" s="41"/>
      <c r="E82" s="23"/>
      <c r="F82" s="23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</row>
    <row r="83" spans="1:26" ht="15" customHeight="1" x14ac:dyDescent="0.4">
      <c r="A83" s="1"/>
      <c r="B83" s="142" t="s">
        <v>84</v>
      </c>
      <c r="C83" s="122"/>
      <c r="D83" s="122"/>
      <c r="E83" s="122"/>
      <c r="F83" s="123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</row>
    <row r="84" spans="1:26" ht="16.5" customHeight="1" x14ac:dyDescent="0.4">
      <c r="A84" s="1"/>
      <c r="B84" s="9">
        <v>6</v>
      </c>
      <c r="C84" s="108" t="s">
        <v>85</v>
      </c>
      <c r="D84" s="107"/>
      <c r="E84" s="24" t="s">
        <v>73</v>
      </c>
      <c r="F84" s="24" t="s">
        <v>80</v>
      </c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</row>
    <row r="85" spans="1:26" ht="16.5" customHeight="1" x14ac:dyDescent="0.4">
      <c r="A85" s="1"/>
      <c r="B85" s="9" t="s">
        <v>11</v>
      </c>
      <c r="C85" s="111" t="s">
        <v>86</v>
      </c>
      <c r="D85" s="107"/>
      <c r="E85" s="49">
        <f>PERC_CUSTOS_INDIRETOS</f>
        <v>4.7300000000000004</v>
      </c>
      <c r="F85" s="33">
        <f>PERC_CUSTOS_INDIRETOS%*('POSTO 40 HORAS'!MOD_1_REMUNERACAO_44H+'POSTO 40 HORAS'!MOD_2_ENCARGOS_BENEFICIOS_44H+'POSTO 40 HORAS'!MOD_3_PROVISAO_RESCISAO_44H+'POSTO 40 HORAS'!MOD_4_CUSTO_REPOSICAO_44H+'POSTO 40 HORAS'!MOD_5_INSUMOS_44H)</f>
        <v>299.71753636563187</v>
      </c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</row>
    <row r="86" spans="1:26" ht="15.75" customHeight="1" x14ac:dyDescent="0.4">
      <c r="A86" s="1"/>
      <c r="B86" s="24" t="s">
        <v>13</v>
      </c>
      <c r="C86" s="106" t="s">
        <v>87</v>
      </c>
      <c r="D86" s="107"/>
      <c r="E86" s="50">
        <f>PERC_LUCRO</f>
        <v>5.57</v>
      </c>
      <c r="F86" s="35">
        <f>PERC_LUCRO%*('POSTO 40 HORAS'!MOD_1_REMUNERACAO_44H+'POSTO 40 HORAS'!MOD_2_ENCARGOS_BENEFICIOS_44H+'POSTO 40 HORAS'!MOD_3_PROVISAO_RESCISAO_44H+'POSTO 40 HORAS'!MOD_4_CUSTO_REPOSICAO_44H+'POSTO 40 HORAS'!MOD_5_INSUMOS_44H+'POSTO 40 HORAS'!AL_6_A_CUSTOS_INDIRETOS_44H)</f>
        <v>369.63859606870932</v>
      </c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</row>
    <row r="87" spans="1:26" ht="16.5" customHeight="1" x14ac:dyDescent="0.4">
      <c r="A87" s="1"/>
      <c r="B87" s="24" t="s">
        <v>15</v>
      </c>
      <c r="C87" s="111" t="s">
        <v>188</v>
      </c>
      <c r="D87" s="107"/>
      <c r="E87" s="49">
        <f t="shared" ref="E87:F87" si="0">SUM(E88:E90)</f>
        <v>8.65</v>
      </c>
      <c r="F87" s="33">
        <f t="shared" si="0"/>
        <v>663.39194542921814</v>
      </c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</row>
    <row r="88" spans="1:26" ht="15.75" customHeight="1" x14ac:dyDescent="0.4">
      <c r="A88" s="1"/>
      <c r="B88" s="51" t="s">
        <v>88</v>
      </c>
      <c r="C88" s="117" t="s">
        <v>89</v>
      </c>
      <c r="D88" s="107"/>
      <c r="E88" s="52">
        <f>PERC_PIS</f>
        <v>0.65</v>
      </c>
      <c r="F88" s="53">
        <f>(('POSTO 40 HORAS'!MOD_1_REMUNERACAO_44H+'POSTO 40 HORAS'!MOD_2_ENCARGOS_BENEFICIOS_44H+'POSTO 40 HORAS'!MOD_3_PROVISAO_RESCISAO_44H+'POSTO 40 HORAS'!MOD_4_CUSTO_REPOSICAO_44H+'POSTO 40 HORAS'!MOD_5_INSUMOS_44H+'POSTO 40 HORAS'!AL_6_A_CUSTOS_INDIRETOS_44H+'POSTO 40 HORAS'!AL_6_B_LUCRO_44H)*PERC_PIS%)/(1-'POSTO 40 HORAS'!PERC_TRIBUTOS%)</f>
        <v>49.850261795259172</v>
      </c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</row>
    <row r="89" spans="1:26" ht="16.5" customHeight="1" x14ac:dyDescent="0.4">
      <c r="A89" s="1"/>
      <c r="B89" s="51" t="s">
        <v>90</v>
      </c>
      <c r="C89" s="118" t="s">
        <v>91</v>
      </c>
      <c r="D89" s="107"/>
      <c r="E89" s="54">
        <f>PERC_COFINS</f>
        <v>3</v>
      </c>
      <c r="F89" s="55">
        <f>(('POSTO 40 HORAS'!MOD_1_REMUNERACAO_44H+'POSTO 40 HORAS'!MOD_2_ENCARGOS_BENEFICIOS_44H+'POSTO 40 HORAS'!MOD_3_PROVISAO_RESCISAO_44H+'POSTO 40 HORAS'!MOD_4_CUSTO_REPOSICAO_44H+'POSTO 40 HORAS'!MOD_5_INSUMOS_44H+'POSTO 40 HORAS'!AL_6_A_CUSTOS_INDIRETOS_44H+'POSTO 40 HORAS'!AL_6_B_LUCRO_44H)*PERC_COFINS%)/(1-'POSTO 40 HORAS'!PERC_TRIBUTOS%)</f>
        <v>230.07813136273458</v>
      </c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</row>
    <row r="90" spans="1:26" ht="16.5" customHeight="1" x14ac:dyDescent="0.4">
      <c r="A90" s="56"/>
      <c r="B90" s="51" t="s">
        <v>92</v>
      </c>
      <c r="C90" s="117" t="s">
        <v>93</v>
      </c>
      <c r="D90" s="107"/>
      <c r="E90" s="52">
        <f>PERC_ISS</f>
        <v>5</v>
      </c>
      <c r="F90" s="53">
        <f>(('POSTO 40 HORAS'!MOD_1_REMUNERACAO_44H+'POSTO 40 HORAS'!MOD_2_ENCARGOS_BENEFICIOS_44H+'POSTO 40 HORAS'!MOD_3_PROVISAO_RESCISAO_44H+'POSTO 40 HORAS'!MOD_4_CUSTO_REPOSICAO_44H+'POSTO 40 HORAS'!MOD_5_INSUMOS_44H+'POSTO 40 HORAS'!AL_6_A_CUSTOS_INDIRETOS_44H+'POSTO 40 HORAS'!AL_6_B_LUCRO_44H)*PERC_ISS%)/(1-'POSTO 40 HORAS'!PERC_TRIBUTOS%)</f>
        <v>383.46355227122433</v>
      </c>
      <c r="G90" s="56"/>
      <c r="H90" s="56"/>
      <c r="I90" s="56"/>
      <c r="J90" s="56"/>
      <c r="K90" s="56"/>
      <c r="L90" s="56"/>
      <c r="M90" s="56"/>
      <c r="N90" s="56"/>
      <c r="O90" s="56"/>
      <c r="P90" s="56"/>
      <c r="Q90" s="56"/>
      <c r="R90" s="56"/>
      <c r="S90" s="56"/>
      <c r="T90" s="56"/>
      <c r="U90" s="56"/>
      <c r="V90" s="56"/>
      <c r="W90" s="56"/>
      <c r="X90" s="56"/>
      <c r="Y90" s="56"/>
      <c r="Z90" s="56"/>
    </row>
    <row r="91" spans="1:26" ht="16.5" customHeight="1" x14ac:dyDescent="0.4">
      <c r="A91" s="56"/>
      <c r="B91" s="108" t="s">
        <v>150</v>
      </c>
      <c r="C91" s="109"/>
      <c r="D91" s="109"/>
      <c r="E91" s="107"/>
      <c r="F91" s="57">
        <f>'POSTO 40 HORAS'!AL_6_A_CUSTOS_INDIRETOS_44H+'POSTO 40 HORAS'!AL_6_B_LUCRO_44H+'POSTO 40 HORAS'!AL_6_C_TRIBUTOS_44H</f>
        <v>1332.7480778635593</v>
      </c>
      <c r="G91" s="56"/>
      <c r="H91" s="56"/>
      <c r="I91" s="56"/>
      <c r="J91" s="56"/>
      <c r="K91" s="56"/>
      <c r="L91" s="56"/>
      <c r="M91" s="56"/>
      <c r="N91" s="56"/>
      <c r="O91" s="56"/>
      <c r="P91" s="56"/>
      <c r="Q91" s="56"/>
      <c r="R91" s="56"/>
      <c r="S91" s="56"/>
      <c r="T91" s="56"/>
      <c r="U91" s="56"/>
      <c r="V91" s="56"/>
      <c r="W91" s="56"/>
      <c r="X91" s="56"/>
      <c r="Y91" s="56"/>
      <c r="Z91" s="56"/>
    </row>
    <row r="92" spans="1:26" ht="16.5" customHeight="1" x14ac:dyDescent="0.4">
      <c r="A92" s="56"/>
      <c r="B92" s="58" t="s">
        <v>189</v>
      </c>
      <c r="C92" s="59"/>
      <c r="D92" s="59"/>
      <c r="E92" s="59"/>
      <c r="F92" s="60"/>
      <c r="G92" s="56"/>
      <c r="H92" s="56"/>
      <c r="I92" s="56"/>
      <c r="J92" s="56"/>
      <c r="K92" s="56"/>
      <c r="L92" s="56"/>
      <c r="M92" s="56"/>
      <c r="N92" s="56"/>
      <c r="O92" s="56"/>
      <c r="P92" s="56"/>
      <c r="Q92" s="56"/>
      <c r="R92" s="56"/>
      <c r="S92" s="56"/>
      <c r="T92" s="56"/>
      <c r="U92" s="56"/>
      <c r="V92" s="56"/>
      <c r="W92" s="56"/>
      <c r="X92" s="56"/>
      <c r="Y92" s="56"/>
      <c r="Z92" s="56"/>
    </row>
    <row r="93" spans="1:26" ht="16.5" customHeight="1" x14ac:dyDescent="0.4">
      <c r="A93" s="61"/>
      <c r="B93" s="24" t="s">
        <v>190</v>
      </c>
      <c r="C93" s="110" t="s">
        <v>191</v>
      </c>
      <c r="D93" s="109"/>
      <c r="E93" s="107"/>
      <c r="F93" s="24" t="s">
        <v>192</v>
      </c>
      <c r="G93" s="61"/>
      <c r="H93" s="61"/>
      <c r="I93" s="61"/>
      <c r="J93" s="61"/>
      <c r="K93" s="61"/>
      <c r="L93" s="61"/>
      <c r="M93" s="61"/>
      <c r="N93" s="61"/>
      <c r="O93" s="61"/>
      <c r="P93" s="61"/>
      <c r="Q93" s="61"/>
      <c r="R93" s="61"/>
      <c r="S93" s="61"/>
      <c r="T93" s="61"/>
      <c r="U93" s="61"/>
      <c r="V93" s="61"/>
      <c r="W93" s="61"/>
      <c r="X93" s="61"/>
      <c r="Y93" s="61"/>
      <c r="Z93" s="61"/>
    </row>
    <row r="94" spans="1:26" ht="16.5" customHeight="1" x14ac:dyDescent="0.4">
      <c r="A94" s="56"/>
      <c r="B94" s="9">
        <v>1</v>
      </c>
      <c r="C94" s="111" t="s">
        <v>35</v>
      </c>
      <c r="D94" s="109"/>
      <c r="E94" s="107"/>
      <c r="F94" s="33">
        <f>'POSTO 40 HORAS'!MOD_1_REMUNERACAO_44H</f>
        <v>2749.17</v>
      </c>
      <c r="G94" s="56"/>
      <c r="H94" s="56"/>
      <c r="I94" s="56"/>
      <c r="J94" s="56"/>
      <c r="K94" s="56"/>
      <c r="L94" s="56"/>
      <c r="M94" s="56"/>
      <c r="N94" s="56"/>
      <c r="O94" s="56"/>
      <c r="P94" s="56"/>
      <c r="Q94" s="56"/>
      <c r="R94" s="56"/>
      <c r="S94" s="56"/>
      <c r="T94" s="56"/>
      <c r="U94" s="56"/>
      <c r="V94" s="56"/>
      <c r="W94" s="56"/>
      <c r="X94" s="56"/>
      <c r="Y94" s="56"/>
      <c r="Z94" s="56"/>
    </row>
    <row r="95" spans="1:26" ht="16.5" customHeight="1" x14ac:dyDescent="0.4">
      <c r="A95" s="62"/>
      <c r="B95" s="24">
        <v>2</v>
      </c>
      <c r="C95" s="106" t="s">
        <v>193</v>
      </c>
      <c r="D95" s="109"/>
      <c r="E95" s="107"/>
      <c r="F95" s="35">
        <f>'POSTO 40 HORAS'!MOD_2_ENCARGOS_BENEFICIOS_44H</f>
        <v>2561.2372</v>
      </c>
      <c r="G95" s="62"/>
      <c r="H95" s="62"/>
      <c r="I95" s="62"/>
      <c r="J95" s="62"/>
      <c r="K95" s="62"/>
      <c r="L95" s="62"/>
      <c r="M95" s="62"/>
      <c r="N95" s="62"/>
      <c r="O95" s="62"/>
      <c r="P95" s="62"/>
      <c r="Q95" s="62"/>
      <c r="R95" s="62"/>
      <c r="S95" s="62"/>
      <c r="T95" s="62"/>
      <c r="U95" s="62"/>
      <c r="V95" s="62"/>
      <c r="W95" s="62"/>
      <c r="X95" s="62"/>
      <c r="Y95" s="62"/>
      <c r="Z95" s="62"/>
    </row>
    <row r="96" spans="1:26" ht="16.5" customHeight="1" x14ac:dyDescent="0.4">
      <c r="A96" s="62"/>
      <c r="B96" s="24">
        <v>3</v>
      </c>
      <c r="C96" s="111" t="s">
        <v>115</v>
      </c>
      <c r="D96" s="109"/>
      <c r="E96" s="107"/>
      <c r="F96" s="33">
        <f>'POSTO 40 HORAS'!MOD_3_PROVISAO_RESCISAO_44H</f>
        <v>120.46867824104146</v>
      </c>
      <c r="G96" s="62"/>
      <c r="H96" s="62"/>
      <c r="I96" s="62"/>
      <c r="J96" s="62"/>
      <c r="K96" s="62"/>
      <c r="L96" s="62"/>
      <c r="M96" s="62"/>
      <c r="N96" s="62"/>
      <c r="O96" s="62"/>
      <c r="P96" s="62"/>
      <c r="Q96" s="62"/>
      <c r="R96" s="62"/>
      <c r="S96" s="62"/>
      <c r="T96" s="62"/>
      <c r="U96" s="62"/>
      <c r="V96" s="62"/>
      <c r="W96" s="62"/>
      <c r="X96" s="62"/>
      <c r="Y96" s="62"/>
      <c r="Z96" s="62"/>
    </row>
    <row r="97" spans="1:26" ht="16.5" customHeight="1" x14ac:dyDescent="0.4">
      <c r="A97" s="62"/>
      <c r="B97" s="24">
        <v>4</v>
      </c>
      <c r="C97" s="106" t="s">
        <v>194</v>
      </c>
      <c r="D97" s="109"/>
      <c r="E97" s="107"/>
      <c r="F97" s="35">
        <f>'POSTO 40 HORAS'!MOD_4_CUSTO_REPOSICAO_44H</f>
        <v>563.78708931988615</v>
      </c>
      <c r="G97" s="62"/>
      <c r="H97" s="62"/>
      <c r="I97" s="62"/>
      <c r="J97" s="62"/>
      <c r="K97" s="62"/>
      <c r="L97" s="62"/>
      <c r="M97" s="62"/>
      <c r="N97" s="62"/>
      <c r="O97" s="62"/>
      <c r="P97" s="62"/>
      <c r="Q97" s="62"/>
      <c r="R97" s="62"/>
      <c r="S97" s="62"/>
      <c r="T97" s="62"/>
      <c r="U97" s="62"/>
      <c r="V97" s="62"/>
      <c r="W97" s="62"/>
      <c r="X97" s="62"/>
      <c r="Y97" s="62"/>
      <c r="Z97" s="62"/>
    </row>
    <row r="98" spans="1:26" ht="16.5" customHeight="1" x14ac:dyDescent="0.4">
      <c r="A98" s="62"/>
      <c r="B98" s="24">
        <v>5</v>
      </c>
      <c r="C98" s="111" t="s">
        <v>79</v>
      </c>
      <c r="D98" s="109"/>
      <c r="E98" s="107"/>
      <c r="F98" s="33">
        <f>'POSTO 40 HORAS'!MOD_5_INSUMOS_44H</f>
        <v>341.86</v>
      </c>
      <c r="G98" s="62"/>
      <c r="H98" s="62"/>
      <c r="I98" s="62"/>
      <c r="J98" s="62"/>
      <c r="K98" s="62"/>
      <c r="L98" s="62"/>
      <c r="M98" s="62"/>
      <c r="N98" s="62"/>
      <c r="O98" s="62"/>
      <c r="P98" s="62"/>
      <c r="Q98" s="62"/>
      <c r="R98" s="62"/>
      <c r="S98" s="62"/>
      <c r="T98" s="62"/>
      <c r="U98" s="62"/>
      <c r="V98" s="62"/>
      <c r="W98" s="62"/>
      <c r="X98" s="62"/>
      <c r="Y98" s="62"/>
      <c r="Z98" s="62"/>
    </row>
    <row r="99" spans="1:26" ht="16.5" customHeight="1" x14ac:dyDescent="0.4">
      <c r="A99" s="62"/>
      <c r="B99" s="24">
        <v>6</v>
      </c>
      <c r="C99" s="106" t="s">
        <v>85</v>
      </c>
      <c r="D99" s="109"/>
      <c r="E99" s="107"/>
      <c r="F99" s="35">
        <f>'POSTO 40 HORAS'!MOD_6_CUSTOS_IND_LUCRO_TRIB_44H</f>
        <v>1332.7480778635593</v>
      </c>
      <c r="G99" s="62"/>
      <c r="H99" s="62"/>
      <c r="I99" s="62"/>
      <c r="J99" s="62"/>
      <c r="K99" s="62"/>
      <c r="L99" s="62"/>
      <c r="M99" s="62"/>
      <c r="N99" s="62"/>
      <c r="O99" s="62"/>
      <c r="P99" s="62"/>
      <c r="Q99" s="62"/>
      <c r="R99" s="62"/>
      <c r="S99" s="62"/>
      <c r="T99" s="62"/>
      <c r="U99" s="62"/>
      <c r="V99" s="62"/>
      <c r="W99" s="62"/>
      <c r="X99" s="62"/>
      <c r="Y99" s="62"/>
      <c r="Z99" s="62"/>
    </row>
    <row r="100" spans="1:26" ht="16.5" customHeight="1" x14ac:dyDescent="0.4">
      <c r="A100" s="1"/>
      <c r="B100" s="110" t="s">
        <v>195</v>
      </c>
      <c r="C100" s="109"/>
      <c r="D100" s="109"/>
      <c r="E100" s="107"/>
      <c r="F100" s="57">
        <f>SUM(F94:F99)</f>
        <v>7669.2710454244861</v>
      </c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</row>
    <row r="101" spans="1:26" ht="16.5" customHeight="1" x14ac:dyDescent="0.4">
      <c r="A101" s="1"/>
      <c r="B101" s="110" t="s">
        <v>196</v>
      </c>
      <c r="C101" s="109"/>
      <c r="D101" s="109"/>
      <c r="E101" s="107"/>
      <c r="F101" s="57">
        <f>'POSTO 40 HORAS'!VALOR_TOTAL_EMPREGADO_44H*EMPREG_POR_POSTO</f>
        <v>7669.2710454244861</v>
      </c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</row>
    <row r="102" spans="1:26" ht="16.5" customHeight="1" x14ac:dyDescent="0.4">
      <c r="A102" s="1"/>
      <c r="B102" s="110" t="s">
        <v>197</v>
      </c>
      <c r="C102" s="109"/>
      <c r="D102" s="109"/>
      <c r="E102" s="107"/>
      <c r="F102" s="57">
        <f>'POSTO 40 HORAS'!VALOR_TOTAL_EMPREGADO_44H*EMPREG_POR_POSTO*'POSTO 40 HORAS'!QTDE_POSTOS</f>
        <v>7669.2710454244861</v>
      </c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</row>
    <row r="103" spans="1:26" ht="16.5" customHeight="1" x14ac:dyDescent="0.4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</row>
    <row r="104" spans="1:26" ht="16.5" customHeight="1" x14ac:dyDescent="0.4">
      <c r="A104" s="1"/>
      <c r="B104" s="1" t="s">
        <v>173</v>
      </c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</row>
    <row r="105" spans="1:26" ht="16.5" customHeight="1" x14ac:dyDescent="0.4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</row>
    <row r="106" spans="1:26" ht="16.5" customHeight="1" x14ac:dyDescent="0.4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</row>
    <row r="107" spans="1:26" ht="16.5" customHeight="1" x14ac:dyDescent="0.4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</row>
    <row r="108" spans="1:26" ht="16.5" customHeight="1" x14ac:dyDescent="0.4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</row>
    <row r="109" spans="1:26" ht="16.5" customHeight="1" x14ac:dyDescent="0.4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</row>
    <row r="110" spans="1:26" ht="16.5" customHeight="1" x14ac:dyDescent="0.4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</row>
    <row r="111" spans="1:26" ht="16.5" customHeight="1" x14ac:dyDescent="0.4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</row>
    <row r="112" spans="1:26" ht="16.5" customHeight="1" x14ac:dyDescent="0.4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</row>
    <row r="113" spans="1:26" ht="16.5" customHeight="1" x14ac:dyDescent="0.4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</row>
    <row r="114" spans="1:26" ht="16.5" customHeight="1" x14ac:dyDescent="0.4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</row>
    <row r="115" spans="1:26" ht="16.5" customHeight="1" x14ac:dyDescent="0.4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</row>
    <row r="116" spans="1:26" ht="16.5" customHeight="1" x14ac:dyDescent="0.4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</row>
    <row r="117" spans="1:26" ht="16.5" customHeight="1" x14ac:dyDescent="0.4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</row>
    <row r="118" spans="1:26" ht="16.5" customHeight="1" x14ac:dyDescent="0.4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</row>
    <row r="119" spans="1:26" ht="16.5" customHeight="1" x14ac:dyDescent="0.4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</row>
    <row r="120" spans="1:26" ht="16.5" customHeight="1" x14ac:dyDescent="0.4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</row>
    <row r="121" spans="1:26" ht="16.5" customHeight="1" x14ac:dyDescent="0.4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</row>
    <row r="122" spans="1:26" ht="16.5" customHeight="1" x14ac:dyDescent="0.4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</row>
    <row r="123" spans="1:26" ht="16.5" customHeight="1" x14ac:dyDescent="0.4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</row>
    <row r="124" spans="1:26" ht="16.5" customHeight="1" x14ac:dyDescent="0.4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</row>
    <row r="125" spans="1:26" ht="16.5" customHeight="1" x14ac:dyDescent="0.4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</row>
    <row r="126" spans="1:26" ht="16.5" customHeight="1" x14ac:dyDescent="0.4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</row>
    <row r="127" spans="1:26" ht="16.5" customHeight="1" x14ac:dyDescent="0.4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</row>
    <row r="128" spans="1:26" ht="16.5" customHeight="1" x14ac:dyDescent="0.4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</row>
    <row r="129" spans="1:26" ht="16.5" customHeight="1" x14ac:dyDescent="0.4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</row>
    <row r="130" spans="1:26" ht="16.5" customHeight="1" x14ac:dyDescent="0.4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</row>
    <row r="131" spans="1:26" ht="16.5" customHeight="1" x14ac:dyDescent="0.4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</row>
    <row r="132" spans="1:26" ht="16.5" customHeight="1" x14ac:dyDescent="0.4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</row>
    <row r="133" spans="1:26" ht="16.5" customHeight="1" x14ac:dyDescent="0.4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</row>
    <row r="134" spans="1:26" ht="16.5" customHeight="1" x14ac:dyDescent="0.4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</row>
    <row r="135" spans="1:26" ht="16.5" customHeight="1" x14ac:dyDescent="0.4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</row>
    <row r="136" spans="1:26" ht="16.5" customHeight="1" x14ac:dyDescent="0.4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</row>
    <row r="137" spans="1:26" ht="16.5" customHeight="1" x14ac:dyDescent="0.4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</row>
    <row r="138" spans="1:26" ht="16.5" customHeight="1" x14ac:dyDescent="0.4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</row>
    <row r="139" spans="1:26" ht="16.5" customHeight="1" x14ac:dyDescent="0.4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</row>
    <row r="140" spans="1:26" ht="16.5" customHeight="1" x14ac:dyDescent="0.4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</row>
    <row r="141" spans="1:26" ht="16.5" customHeight="1" x14ac:dyDescent="0.4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</row>
    <row r="142" spans="1:26" ht="16.5" customHeight="1" x14ac:dyDescent="0.4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</row>
    <row r="143" spans="1:26" ht="16.5" customHeight="1" x14ac:dyDescent="0.4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</row>
    <row r="144" spans="1:26" ht="16.5" customHeight="1" x14ac:dyDescent="0.4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</row>
    <row r="145" spans="1:26" ht="16.5" customHeight="1" x14ac:dyDescent="0.4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</row>
    <row r="146" spans="1:26" ht="16.5" customHeight="1" x14ac:dyDescent="0.4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</row>
    <row r="147" spans="1:26" ht="16.5" customHeight="1" x14ac:dyDescent="0.4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</row>
    <row r="148" spans="1:26" ht="16.5" customHeight="1" x14ac:dyDescent="0.4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</row>
    <row r="149" spans="1:26" ht="16.5" customHeight="1" x14ac:dyDescent="0.4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</row>
    <row r="150" spans="1:26" ht="16.5" customHeight="1" x14ac:dyDescent="0.4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</row>
    <row r="151" spans="1:26" ht="16.5" customHeight="1" x14ac:dyDescent="0.4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</row>
    <row r="152" spans="1:26" ht="16.5" customHeight="1" x14ac:dyDescent="0.4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</row>
    <row r="153" spans="1:26" ht="16.5" customHeight="1" x14ac:dyDescent="0.4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</row>
    <row r="154" spans="1:26" ht="16.5" customHeight="1" x14ac:dyDescent="0.4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</row>
    <row r="155" spans="1:26" ht="16.5" customHeight="1" x14ac:dyDescent="0.4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</row>
    <row r="156" spans="1:26" ht="16.5" customHeight="1" x14ac:dyDescent="0.4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</row>
    <row r="157" spans="1:26" ht="16.5" customHeight="1" x14ac:dyDescent="0.4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</row>
    <row r="158" spans="1:26" ht="16.5" customHeight="1" x14ac:dyDescent="0.4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</row>
    <row r="159" spans="1:26" ht="16.5" customHeight="1" x14ac:dyDescent="0.4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</row>
    <row r="160" spans="1:26" ht="16.5" customHeight="1" x14ac:dyDescent="0.4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</row>
    <row r="161" spans="1:26" ht="16.5" customHeight="1" x14ac:dyDescent="0.4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</row>
    <row r="162" spans="1:26" ht="16.5" customHeight="1" x14ac:dyDescent="0.4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</row>
    <row r="163" spans="1:26" ht="16.5" customHeight="1" x14ac:dyDescent="0.4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</row>
    <row r="164" spans="1:26" ht="16.5" customHeight="1" x14ac:dyDescent="0.4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</row>
    <row r="165" spans="1:26" ht="16.5" customHeight="1" x14ac:dyDescent="0.4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</row>
    <row r="166" spans="1:26" ht="16.5" customHeight="1" x14ac:dyDescent="0.4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</row>
    <row r="167" spans="1:26" ht="16.5" customHeight="1" x14ac:dyDescent="0.4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</row>
    <row r="168" spans="1:26" ht="16.5" customHeight="1" x14ac:dyDescent="0.4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</row>
    <row r="169" spans="1:26" ht="16.5" customHeight="1" x14ac:dyDescent="0.4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</row>
    <row r="170" spans="1:26" ht="16.5" customHeight="1" x14ac:dyDescent="0.4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</row>
    <row r="171" spans="1:26" ht="16.5" customHeight="1" x14ac:dyDescent="0.4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</row>
    <row r="172" spans="1:26" ht="16.5" customHeight="1" x14ac:dyDescent="0.4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</row>
    <row r="173" spans="1:26" ht="16.5" customHeight="1" x14ac:dyDescent="0.4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</row>
    <row r="174" spans="1:26" ht="16.5" customHeight="1" x14ac:dyDescent="0.4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</row>
    <row r="175" spans="1:26" ht="16.5" customHeight="1" x14ac:dyDescent="0.4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</row>
    <row r="176" spans="1:26" ht="16.5" customHeight="1" x14ac:dyDescent="0.4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</row>
    <row r="177" spans="1:26" ht="16.5" customHeight="1" x14ac:dyDescent="0.4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</row>
    <row r="178" spans="1:26" ht="16.5" customHeight="1" x14ac:dyDescent="0.4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</row>
    <row r="179" spans="1:26" ht="16.5" customHeight="1" x14ac:dyDescent="0.4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</row>
    <row r="180" spans="1:26" ht="16.5" customHeight="1" x14ac:dyDescent="0.4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</row>
    <row r="181" spans="1:26" ht="16.5" customHeight="1" x14ac:dyDescent="0.4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</row>
    <row r="182" spans="1:26" ht="16.5" customHeight="1" x14ac:dyDescent="0.4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</row>
    <row r="183" spans="1:26" ht="16.5" customHeight="1" x14ac:dyDescent="0.4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</row>
    <row r="184" spans="1:26" ht="16.5" customHeight="1" x14ac:dyDescent="0.4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</row>
    <row r="185" spans="1:26" ht="16.5" customHeight="1" x14ac:dyDescent="0.4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</row>
    <row r="186" spans="1:26" ht="16.5" customHeight="1" x14ac:dyDescent="0.4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</row>
    <row r="187" spans="1:26" ht="16.5" customHeight="1" x14ac:dyDescent="0.4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</row>
    <row r="188" spans="1:26" ht="16.5" customHeight="1" x14ac:dyDescent="0.4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</row>
    <row r="189" spans="1:26" ht="16.5" customHeight="1" x14ac:dyDescent="0.4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</row>
    <row r="190" spans="1:26" ht="16.5" customHeight="1" x14ac:dyDescent="0.4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</row>
    <row r="191" spans="1:26" ht="16.5" customHeight="1" x14ac:dyDescent="0.4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</row>
    <row r="192" spans="1:26" ht="16.5" customHeight="1" x14ac:dyDescent="0.4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</row>
    <row r="193" spans="1:26" ht="16.5" customHeight="1" x14ac:dyDescent="0.4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</row>
    <row r="194" spans="1:26" ht="16.5" customHeight="1" x14ac:dyDescent="0.4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</row>
    <row r="195" spans="1:26" ht="16.5" customHeight="1" x14ac:dyDescent="0.4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</row>
    <row r="196" spans="1:26" ht="16.5" customHeight="1" x14ac:dyDescent="0.4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</row>
    <row r="197" spans="1:26" ht="16.5" customHeight="1" x14ac:dyDescent="0.4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</row>
    <row r="198" spans="1:26" ht="16.5" customHeight="1" x14ac:dyDescent="0.4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</row>
    <row r="199" spans="1:26" ht="16.5" customHeight="1" x14ac:dyDescent="0.4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</row>
    <row r="200" spans="1:26" ht="16.5" customHeight="1" x14ac:dyDescent="0.4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</row>
    <row r="201" spans="1:26" ht="16.5" customHeight="1" x14ac:dyDescent="0.4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</row>
    <row r="202" spans="1:26" ht="16.5" customHeight="1" x14ac:dyDescent="0.4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</row>
    <row r="203" spans="1:26" ht="16.5" customHeight="1" x14ac:dyDescent="0.4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</row>
    <row r="204" spans="1:26" ht="16.5" customHeight="1" x14ac:dyDescent="0.4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</row>
    <row r="205" spans="1:26" ht="16.5" customHeight="1" x14ac:dyDescent="0.4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</row>
    <row r="206" spans="1:26" ht="16.5" customHeight="1" x14ac:dyDescent="0.4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</row>
    <row r="207" spans="1:26" ht="16.5" customHeight="1" x14ac:dyDescent="0.4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</row>
    <row r="208" spans="1:26" ht="16.5" customHeight="1" x14ac:dyDescent="0.4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</row>
    <row r="209" spans="1:26" ht="16.5" customHeight="1" x14ac:dyDescent="0.4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</row>
    <row r="210" spans="1:26" ht="16.5" customHeight="1" x14ac:dyDescent="0.4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</row>
    <row r="211" spans="1:26" ht="16.5" customHeight="1" x14ac:dyDescent="0.4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</row>
    <row r="212" spans="1:26" ht="16.5" customHeight="1" x14ac:dyDescent="0.4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</row>
    <row r="213" spans="1:26" ht="16.5" customHeight="1" x14ac:dyDescent="0.4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</row>
    <row r="214" spans="1:26" ht="16.5" customHeight="1" x14ac:dyDescent="0.4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</row>
    <row r="215" spans="1:26" ht="16.5" customHeight="1" x14ac:dyDescent="0.4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</row>
    <row r="216" spans="1:26" ht="16.5" customHeight="1" x14ac:dyDescent="0.4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</row>
    <row r="217" spans="1:26" ht="16.5" customHeight="1" x14ac:dyDescent="0.4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</row>
    <row r="218" spans="1:26" ht="16.5" customHeight="1" x14ac:dyDescent="0.4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</row>
    <row r="219" spans="1:26" ht="16.5" customHeight="1" x14ac:dyDescent="0.4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</row>
    <row r="220" spans="1:26" ht="16.5" customHeight="1" x14ac:dyDescent="0.4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</row>
    <row r="221" spans="1:26" ht="16.5" customHeight="1" x14ac:dyDescent="0.4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</row>
    <row r="222" spans="1:26" ht="16.5" customHeight="1" x14ac:dyDescent="0.4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</row>
    <row r="223" spans="1:26" ht="16.5" customHeight="1" x14ac:dyDescent="0.4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</row>
    <row r="224" spans="1:26" ht="16.5" customHeight="1" x14ac:dyDescent="0.4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</row>
    <row r="225" spans="1:26" ht="16.5" customHeight="1" x14ac:dyDescent="0.4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</row>
    <row r="226" spans="1:26" ht="16.5" customHeight="1" x14ac:dyDescent="0.4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</row>
    <row r="227" spans="1:26" ht="16.5" customHeight="1" x14ac:dyDescent="0.4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</row>
    <row r="228" spans="1:26" ht="16.5" customHeight="1" x14ac:dyDescent="0.4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</row>
    <row r="229" spans="1:26" ht="16.5" customHeight="1" x14ac:dyDescent="0.4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</row>
    <row r="230" spans="1:26" ht="16.5" customHeight="1" x14ac:dyDescent="0.4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</row>
    <row r="231" spans="1:26" ht="16.5" customHeight="1" x14ac:dyDescent="0.4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</row>
    <row r="232" spans="1:26" ht="16.5" customHeight="1" x14ac:dyDescent="0.4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</row>
    <row r="233" spans="1:26" ht="16.5" customHeight="1" x14ac:dyDescent="0.4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</row>
    <row r="234" spans="1:26" ht="16.5" customHeight="1" x14ac:dyDescent="0.4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</row>
    <row r="235" spans="1:26" ht="16.5" customHeight="1" x14ac:dyDescent="0.4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</row>
    <row r="236" spans="1:26" ht="16.5" customHeight="1" x14ac:dyDescent="0.4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</row>
    <row r="237" spans="1:26" ht="16.5" customHeight="1" x14ac:dyDescent="0.4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</row>
    <row r="238" spans="1:26" ht="16.5" customHeight="1" x14ac:dyDescent="0.4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</row>
    <row r="239" spans="1:26" ht="16.5" customHeight="1" x14ac:dyDescent="0.4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</row>
    <row r="240" spans="1:26" ht="16.5" customHeight="1" x14ac:dyDescent="0.4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</row>
    <row r="241" spans="1:26" ht="16.5" customHeight="1" x14ac:dyDescent="0.4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</row>
    <row r="242" spans="1:26" ht="16.5" customHeight="1" x14ac:dyDescent="0.4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</row>
    <row r="243" spans="1:26" ht="16.5" customHeight="1" x14ac:dyDescent="0.4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</row>
    <row r="244" spans="1:26" ht="16.5" customHeight="1" x14ac:dyDescent="0.4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</row>
    <row r="245" spans="1:26" ht="16.5" customHeight="1" x14ac:dyDescent="0.4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</row>
    <row r="246" spans="1:26" ht="16.5" customHeight="1" x14ac:dyDescent="0.4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</row>
    <row r="247" spans="1:26" ht="16.5" customHeight="1" x14ac:dyDescent="0.4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</row>
    <row r="248" spans="1:26" ht="16.5" customHeight="1" x14ac:dyDescent="0.4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</row>
    <row r="249" spans="1:26" ht="16.5" customHeight="1" x14ac:dyDescent="0.4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</row>
    <row r="250" spans="1:26" ht="16.5" customHeight="1" x14ac:dyDescent="0.4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</row>
    <row r="251" spans="1:26" ht="16.5" customHeight="1" x14ac:dyDescent="0.4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</row>
    <row r="252" spans="1:26" ht="16.5" customHeight="1" x14ac:dyDescent="0.4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</row>
    <row r="253" spans="1:26" ht="16.5" customHeight="1" x14ac:dyDescent="0.4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</row>
    <row r="254" spans="1:26" ht="16.5" customHeight="1" x14ac:dyDescent="0.4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</row>
    <row r="255" spans="1:26" ht="16.5" customHeight="1" x14ac:dyDescent="0.4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</row>
    <row r="256" spans="1:26" ht="16.5" customHeight="1" x14ac:dyDescent="0.4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</row>
    <row r="257" spans="1:26" ht="16.5" customHeight="1" x14ac:dyDescent="0.4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</row>
    <row r="258" spans="1:26" ht="16.5" customHeight="1" x14ac:dyDescent="0.4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</row>
    <row r="259" spans="1:26" ht="16.5" customHeight="1" x14ac:dyDescent="0.4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</row>
    <row r="260" spans="1:26" ht="16.5" customHeight="1" x14ac:dyDescent="0.4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</row>
    <row r="261" spans="1:26" ht="16.5" customHeight="1" x14ac:dyDescent="0.4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</row>
    <row r="262" spans="1:26" ht="16.5" customHeight="1" x14ac:dyDescent="0.4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</row>
    <row r="263" spans="1:26" ht="16.5" customHeight="1" x14ac:dyDescent="0.4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</row>
    <row r="264" spans="1:26" ht="16.5" customHeight="1" x14ac:dyDescent="0.4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</row>
    <row r="265" spans="1:26" ht="16.5" customHeight="1" x14ac:dyDescent="0.4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</row>
    <row r="266" spans="1:26" ht="16.5" customHeight="1" x14ac:dyDescent="0.4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</row>
    <row r="267" spans="1:26" ht="16.5" customHeight="1" x14ac:dyDescent="0.4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</row>
    <row r="268" spans="1:26" ht="16.5" customHeight="1" x14ac:dyDescent="0.4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</row>
    <row r="269" spans="1:26" ht="16.5" customHeight="1" x14ac:dyDescent="0.4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</row>
    <row r="270" spans="1:26" ht="16.5" customHeight="1" x14ac:dyDescent="0.4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</row>
    <row r="271" spans="1:26" ht="16.5" customHeight="1" x14ac:dyDescent="0.4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</row>
    <row r="272" spans="1:26" ht="16.5" customHeight="1" x14ac:dyDescent="0.4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</row>
    <row r="273" spans="1:26" ht="16.5" customHeight="1" x14ac:dyDescent="0.4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</row>
    <row r="274" spans="1:26" ht="16.5" customHeight="1" x14ac:dyDescent="0.4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</row>
    <row r="275" spans="1:26" ht="16.5" customHeight="1" x14ac:dyDescent="0.4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</row>
    <row r="276" spans="1:26" ht="16.5" customHeight="1" x14ac:dyDescent="0.4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</row>
    <row r="277" spans="1:26" ht="16.5" customHeight="1" x14ac:dyDescent="0.4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</row>
    <row r="278" spans="1:26" ht="16.5" customHeight="1" x14ac:dyDescent="0.4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</row>
    <row r="279" spans="1:26" ht="16.5" customHeight="1" x14ac:dyDescent="0.4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</row>
    <row r="280" spans="1:26" ht="16.5" customHeight="1" x14ac:dyDescent="0.4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</row>
    <row r="281" spans="1:26" ht="16.5" customHeight="1" x14ac:dyDescent="0.4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</row>
    <row r="282" spans="1:26" ht="16.5" customHeight="1" x14ac:dyDescent="0.4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</row>
    <row r="283" spans="1:26" ht="16.5" customHeight="1" x14ac:dyDescent="0.4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</row>
    <row r="284" spans="1:26" ht="16.5" customHeight="1" x14ac:dyDescent="0.4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</row>
    <row r="285" spans="1:26" ht="16.5" customHeight="1" x14ac:dyDescent="0.4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</row>
    <row r="286" spans="1:26" ht="16.5" customHeight="1" x14ac:dyDescent="0.4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</row>
    <row r="287" spans="1:26" ht="16.5" customHeight="1" x14ac:dyDescent="0.4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</row>
    <row r="288" spans="1:26" ht="16.5" customHeight="1" x14ac:dyDescent="0.4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</row>
    <row r="289" spans="1:26" ht="16.5" customHeight="1" x14ac:dyDescent="0.4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</row>
    <row r="290" spans="1:26" ht="16.5" customHeight="1" x14ac:dyDescent="0.4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</row>
    <row r="291" spans="1:26" ht="16.5" customHeight="1" x14ac:dyDescent="0.4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</row>
    <row r="292" spans="1:26" ht="16.5" customHeight="1" x14ac:dyDescent="0.4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</row>
    <row r="293" spans="1:26" ht="16.5" customHeight="1" x14ac:dyDescent="0.4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</row>
    <row r="294" spans="1:26" ht="16.5" customHeight="1" x14ac:dyDescent="0.4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</row>
    <row r="295" spans="1:26" ht="16.5" customHeight="1" x14ac:dyDescent="0.4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</row>
    <row r="296" spans="1:26" ht="16.5" customHeight="1" x14ac:dyDescent="0.4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</row>
    <row r="297" spans="1:26" ht="16.5" customHeight="1" x14ac:dyDescent="0.4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</row>
    <row r="298" spans="1:26" ht="16.5" customHeight="1" x14ac:dyDescent="0.4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</row>
    <row r="299" spans="1:26" ht="16.5" customHeight="1" x14ac:dyDescent="0.4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</row>
    <row r="300" spans="1:26" ht="16.5" customHeight="1" x14ac:dyDescent="0.4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</row>
    <row r="301" spans="1:26" ht="16.5" customHeight="1" x14ac:dyDescent="0.4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</row>
    <row r="302" spans="1:26" ht="16.5" customHeight="1" x14ac:dyDescent="0.4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</row>
    <row r="303" spans="1:26" ht="16.5" customHeight="1" x14ac:dyDescent="0.4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</row>
    <row r="304" spans="1:26" ht="16.5" customHeight="1" x14ac:dyDescent="0.4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</row>
    <row r="305" spans="1:26" ht="16.5" customHeight="1" x14ac:dyDescent="0.4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</row>
    <row r="306" spans="1:26" ht="16.5" customHeight="1" x14ac:dyDescent="0.4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</row>
    <row r="307" spans="1:26" ht="16.5" customHeight="1" x14ac:dyDescent="0.4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</row>
    <row r="308" spans="1:26" ht="16.5" customHeight="1" x14ac:dyDescent="0.4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</row>
    <row r="309" spans="1:26" ht="16.5" customHeight="1" x14ac:dyDescent="0.4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</row>
    <row r="310" spans="1:26" ht="16.5" customHeight="1" x14ac:dyDescent="0.4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</row>
    <row r="311" spans="1:26" ht="16.5" customHeight="1" x14ac:dyDescent="0.4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</row>
    <row r="312" spans="1:26" ht="16.5" customHeight="1" x14ac:dyDescent="0.4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</row>
    <row r="313" spans="1:26" ht="16.5" customHeight="1" x14ac:dyDescent="0.4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</row>
    <row r="314" spans="1:26" ht="16.5" customHeight="1" x14ac:dyDescent="0.4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</row>
    <row r="315" spans="1:26" ht="16.5" customHeight="1" x14ac:dyDescent="0.4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</row>
    <row r="316" spans="1:26" ht="16.5" customHeight="1" x14ac:dyDescent="0.4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</row>
    <row r="317" spans="1:26" ht="16.5" customHeight="1" x14ac:dyDescent="0.4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</row>
    <row r="318" spans="1:26" ht="16.5" customHeight="1" x14ac:dyDescent="0.4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</row>
    <row r="319" spans="1:26" ht="16.5" customHeight="1" x14ac:dyDescent="0.4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</row>
    <row r="320" spans="1:26" ht="16.5" customHeight="1" x14ac:dyDescent="0.4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</row>
    <row r="321" spans="1:26" ht="16.5" customHeight="1" x14ac:dyDescent="0.4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</row>
    <row r="322" spans="1:26" ht="16.5" customHeight="1" x14ac:dyDescent="0.4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</row>
    <row r="323" spans="1:26" ht="16.5" customHeight="1" x14ac:dyDescent="0.4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</row>
    <row r="324" spans="1:26" ht="16.5" customHeight="1" x14ac:dyDescent="0.4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</row>
    <row r="325" spans="1:26" ht="16.5" customHeight="1" x14ac:dyDescent="0.4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</row>
    <row r="326" spans="1:26" ht="16.5" customHeight="1" x14ac:dyDescent="0.4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</row>
    <row r="327" spans="1:26" ht="16.5" customHeight="1" x14ac:dyDescent="0.4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</row>
    <row r="328" spans="1:26" ht="16.5" customHeight="1" x14ac:dyDescent="0.4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</row>
    <row r="329" spans="1:26" ht="16.5" customHeight="1" x14ac:dyDescent="0.4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</row>
    <row r="330" spans="1:26" ht="16.5" customHeight="1" x14ac:dyDescent="0.4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</row>
    <row r="331" spans="1:26" ht="16.5" customHeight="1" x14ac:dyDescent="0.4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</row>
    <row r="332" spans="1:26" ht="16.5" customHeight="1" x14ac:dyDescent="0.4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</row>
    <row r="333" spans="1:26" ht="16.5" customHeight="1" x14ac:dyDescent="0.4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</row>
    <row r="334" spans="1:26" ht="16.5" customHeight="1" x14ac:dyDescent="0.4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</row>
    <row r="335" spans="1:26" ht="16.5" customHeight="1" x14ac:dyDescent="0.4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</row>
    <row r="336" spans="1:26" ht="16.5" customHeight="1" x14ac:dyDescent="0.4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</row>
    <row r="337" spans="1:26" ht="16.5" customHeight="1" x14ac:dyDescent="0.4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</row>
    <row r="338" spans="1:26" ht="16.5" customHeight="1" x14ac:dyDescent="0.4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</row>
    <row r="339" spans="1:26" ht="16.5" customHeight="1" x14ac:dyDescent="0.4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</row>
    <row r="340" spans="1:26" ht="16.5" customHeight="1" x14ac:dyDescent="0.4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</row>
    <row r="341" spans="1:26" ht="16.5" customHeight="1" x14ac:dyDescent="0.4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</row>
    <row r="342" spans="1:26" ht="16.5" customHeight="1" x14ac:dyDescent="0.4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</row>
    <row r="343" spans="1:26" ht="16.5" customHeight="1" x14ac:dyDescent="0.4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</row>
    <row r="344" spans="1:26" ht="16.5" customHeight="1" x14ac:dyDescent="0.4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</row>
    <row r="345" spans="1:26" ht="16.5" customHeight="1" x14ac:dyDescent="0.4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</row>
    <row r="346" spans="1:26" ht="16.5" customHeight="1" x14ac:dyDescent="0.4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</row>
    <row r="347" spans="1:26" ht="16.5" customHeight="1" x14ac:dyDescent="0.4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</row>
    <row r="348" spans="1:26" ht="16.5" customHeight="1" x14ac:dyDescent="0.4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</row>
    <row r="349" spans="1:26" ht="16.5" customHeight="1" x14ac:dyDescent="0.4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</row>
    <row r="350" spans="1:26" ht="16.5" customHeight="1" x14ac:dyDescent="0.4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</row>
    <row r="351" spans="1:26" ht="16.5" customHeight="1" x14ac:dyDescent="0.4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</row>
    <row r="352" spans="1:26" ht="16.5" customHeight="1" x14ac:dyDescent="0.4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</row>
    <row r="353" spans="1:26" ht="16.5" customHeight="1" x14ac:dyDescent="0.4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</row>
    <row r="354" spans="1:26" ht="16.5" customHeight="1" x14ac:dyDescent="0.4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</row>
    <row r="355" spans="1:26" ht="16.5" customHeight="1" x14ac:dyDescent="0.4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</row>
    <row r="356" spans="1:26" ht="16.5" customHeight="1" x14ac:dyDescent="0.4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</row>
    <row r="357" spans="1:26" ht="16.5" customHeight="1" x14ac:dyDescent="0.4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</row>
    <row r="358" spans="1:26" ht="16.5" customHeight="1" x14ac:dyDescent="0.4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</row>
    <row r="359" spans="1:26" ht="16.5" customHeight="1" x14ac:dyDescent="0.4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</row>
    <row r="360" spans="1:26" ht="16.5" customHeight="1" x14ac:dyDescent="0.4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</row>
    <row r="361" spans="1:26" ht="16.5" customHeight="1" x14ac:dyDescent="0.4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</row>
    <row r="362" spans="1:26" ht="16.5" customHeight="1" x14ac:dyDescent="0.4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</row>
    <row r="363" spans="1:26" ht="16.5" customHeight="1" x14ac:dyDescent="0.4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</row>
    <row r="364" spans="1:26" ht="16.5" customHeight="1" x14ac:dyDescent="0.4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</row>
    <row r="365" spans="1:26" ht="16.5" customHeight="1" x14ac:dyDescent="0.4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</row>
    <row r="366" spans="1:26" ht="16.5" customHeight="1" x14ac:dyDescent="0.4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</row>
    <row r="367" spans="1:26" ht="16.5" customHeight="1" x14ac:dyDescent="0.4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</row>
    <row r="368" spans="1:26" ht="16.5" customHeight="1" x14ac:dyDescent="0.4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</row>
    <row r="369" spans="1:26" ht="16.5" customHeight="1" x14ac:dyDescent="0.4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</row>
    <row r="370" spans="1:26" ht="16.5" customHeight="1" x14ac:dyDescent="0.4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</row>
    <row r="371" spans="1:26" ht="16.5" customHeight="1" x14ac:dyDescent="0.4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</row>
    <row r="372" spans="1:26" ht="16.5" customHeight="1" x14ac:dyDescent="0.4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</row>
    <row r="373" spans="1:26" ht="16.5" customHeight="1" x14ac:dyDescent="0.4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</row>
    <row r="374" spans="1:26" ht="16.5" customHeight="1" x14ac:dyDescent="0.4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</row>
    <row r="375" spans="1:26" ht="16.5" customHeight="1" x14ac:dyDescent="0.4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</row>
    <row r="376" spans="1:26" ht="16.5" customHeight="1" x14ac:dyDescent="0.4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</row>
    <row r="377" spans="1:26" ht="16.5" customHeight="1" x14ac:dyDescent="0.4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</row>
    <row r="378" spans="1:26" ht="16.5" customHeight="1" x14ac:dyDescent="0.4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</row>
    <row r="379" spans="1:26" ht="16.5" customHeight="1" x14ac:dyDescent="0.4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</row>
    <row r="380" spans="1:26" ht="16.5" customHeight="1" x14ac:dyDescent="0.4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</row>
    <row r="381" spans="1:26" ht="16.5" customHeight="1" x14ac:dyDescent="0.4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</row>
    <row r="382" spans="1:26" ht="16.5" customHeight="1" x14ac:dyDescent="0.4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</row>
    <row r="383" spans="1:26" ht="16.5" customHeight="1" x14ac:dyDescent="0.4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</row>
    <row r="384" spans="1:26" ht="16.5" customHeight="1" x14ac:dyDescent="0.4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</row>
    <row r="385" spans="1:26" ht="16.5" customHeight="1" x14ac:dyDescent="0.4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</row>
    <row r="386" spans="1:26" ht="16.5" customHeight="1" x14ac:dyDescent="0.4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</row>
    <row r="387" spans="1:26" ht="16.5" customHeight="1" x14ac:dyDescent="0.4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</row>
    <row r="388" spans="1:26" ht="16.5" customHeight="1" x14ac:dyDescent="0.4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</row>
    <row r="389" spans="1:26" ht="16.5" customHeight="1" x14ac:dyDescent="0.4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</row>
    <row r="390" spans="1:26" ht="16.5" customHeight="1" x14ac:dyDescent="0.4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</row>
    <row r="391" spans="1:26" ht="16.5" customHeight="1" x14ac:dyDescent="0.4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</row>
    <row r="392" spans="1:26" ht="16.5" customHeight="1" x14ac:dyDescent="0.4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</row>
    <row r="393" spans="1:26" ht="16.5" customHeight="1" x14ac:dyDescent="0.4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</row>
    <row r="394" spans="1:26" ht="16.5" customHeight="1" x14ac:dyDescent="0.4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</row>
    <row r="395" spans="1:26" ht="16.5" customHeight="1" x14ac:dyDescent="0.4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</row>
    <row r="396" spans="1:26" ht="16.5" customHeight="1" x14ac:dyDescent="0.4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</row>
    <row r="397" spans="1:26" ht="16.5" customHeight="1" x14ac:dyDescent="0.4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</row>
    <row r="398" spans="1:26" ht="16.5" customHeight="1" x14ac:dyDescent="0.4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</row>
    <row r="399" spans="1:26" ht="16.5" customHeight="1" x14ac:dyDescent="0.4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</row>
    <row r="400" spans="1:26" ht="16.5" customHeight="1" x14ac:dyDescent="0.4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</row>
    <row r="401" spans="1:26" ht="16.5" customHeight="1" x14ac:dyDescent="0.4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</row>
    <row r="402" spans="1:26" ht="16.5" customHeight="1" x14ac:dyDescent="0.4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</row>
    <row r="403" spans="1:26" ht="16.5" customHeight="1" x14ac:dyDescent="0.4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</row>
    <row r="404" spans="1:26" ht="16.5" customHeight="1" x14ac:dyDescent="0.4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</row>
    <row r="405" spans="1:26" ht="16.5" customHeight="1" x14ac:dyDescent="0.4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</row>
    <row r="406" spans="1:26" ht="16.5" customHeight="1" x14ac:dyDescent="0.4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</row>
    <row r="407" spans="1:26" ht="16.5" customHeight="1" x14ac:dyDescent="0.4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</row>
    <row r="408" spans="1:26" ht="16.5" customHeight="1" x14ac:dyDescent="0.4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</row>
    <row r="409" spans="1:26" ht="16.5" customHeight="1" x14ac:dyDescent="0.4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</row>
    <row r="410" spans="1:26" ht="16.5" customHeight="1" x14ac:dyDescent="0.4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</row>
    <row r="411" spans="1:26" ht="16.5" customHeight="1" x14ac:dyDescent="0.4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</row>
    <row r="412" spans="1:26" ht="16.5" customHeight="1" x14ac:dyDescent="0.4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</row>
    <row r="413" spans="1:26" ht="16.5" customHeight="1" x14ac:dyDescent="0.4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</row>
    <row r="414" spans="1:26" ht="16.5" customHeight="1" x14ac:dyDescent="0.4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</row>
    <row r="415" spans="1:26" ht="16.5" customHeight="1" x14ac:dyDescent="0.4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</row>
    <row r="416" spans="1:26" ht="16.5" customHeight="1" x14ac:dyDescent="0.4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</row>
    <row r="417" spans="1:26" ht="16.5" customHeight="1" x14ac:dyDescent="0.4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</row>
    <row r="418" spans="1:26" ht="16.5" customHeight="1" x14ac:dyDescent="0.4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</row>
    <row r="419" spans="1:26" ht="16.5" customHeight="1" x14ac:dyDescent="0.4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</row>
    <row r="420" spans="1:26" ht="16.5" customHeight="1" x14ac:dyDescent="0.4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</row>
    <row r="421" spans="1:26" ht="16.5" customHeight="1" x14ac:dyDescent="0.4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</row>
    <row r="422" spans="1:26" ht="16.5" customHeight="1" x14ac:dyDescent="0.4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</row>
    <row r="423" spans="1:26" ht="16.5" customHeight="1" x14ac:dyDescent="0.4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</row>
    <row r="424" spans="1:26" ht="16.5" customHeight="1" x14ac:dyDescent="0.4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</row>
    <row r="425" spans="1:26" ht="16.5" customHeight="1" x14ac:dyDescent="0.4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</row>
    <row r="426" spans="1:26" ht="16.5" customHeight="1" x14ac:dyDescent="0.4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</row>
    <row r="427" spans="1:26" ht="16.5" customHeight="1" x14ac:dyDescent="0.4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</row>
    <row r="428" spans="1:26" ht="16.5" customHeight="1" x14ac:dyDescent="0.4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</row>
    <row r="429" spans="1:26" ht="16.5" customHeight="1" x14ac:dyDescent="0.4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</row>
    <row r="430" spans="1:26" ht="16.5" customHeight="1" x14ac:dyDescent="0.4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</row>
    <row r="431" spans="1:26" ht="16.5" customHeight="1" x14ac:dyDescent="0.4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</row>
    <row r="432" spans="1:26" ht="16.5" customHeight="1" x14ac:dyDescent="0.4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</row>
    <row r="433" spans="1:26" ht="16.5" customHeight="1" x14ac:dyDescent="0.4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</row>
    <row r="434" spans="1:26" ht="16.5" customHeight="1" x14ac:dyDescent="0.4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</row>
    <row r="435" spans="1:26" ht="16.5" customHeight="1" x14ac:dyDescent="0.4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</row>
    <row r="436" spans="1:26" ht="16.5" customHeight="1" x14ac:dyDescent="0.4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</row>
    <row r="437" spans="1:26" ht="16.5" customHeight="1" x14ac:dyDescent="0.4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</row>
    <row r="438" spans="1:26" ht="16.5" customHeight="1" x14ac:dyDescent="0.4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</row>
    <row r="439" spans="1:26" ht="16.5" customHeight="1" x14ac:dyDescent="0.4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</row>
    <row r="440" spans="1:26" ht="16.5" customHeight="1" x14ac:dyDescent="0.4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</row>
    <row r="441" spans="1:26" ht="16.5" customHeight="1" x14ac:dyDescent="0.4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</row>
    <row r="442" spans="1:26" ht="16.5" customHeight="1" x14ac:dyDescent="0.4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</row>
    <row r="443" spans="1:26" ht="16.5" customHeight="1" x14ac:dyDescent="0.4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</row>
    <row r="444" spans="1:26" ht="16.5" customHeight="1" x14ac:dyDescent="0.4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</row>
    <row r="445" spans="1:26" ht="16.5" customHeight="1" x14ac:dyDescent="0.4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</row>
    <row r="446" spans="1:26" ht="16.5" customHeight="1" x14ac:dyDescent="0.4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</row>
    <row r="447" spans="1:26" ht="16.5" customHeight="1" x14ac:dyDescent="0.4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</row>
    <row r="448" spans="1:26" ht="16.5" customHeight="1" x14ac:dyDescent="0.4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</row>
    <row r="449" spans="1:26" ht="16.5" customHeight="1" x14ac:dyDescent="0.4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</row>
    <row r="450" spans="1:26" ht="16.5" customHeight="1" x14ac:dyDescent="0.4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</row>
    <row r="451" spans="1:26" ht="16.5" customHeight="1" x14ac:dyDescent="0.4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</row>
    <row r="452" spans="1:26" ht="16.5" customHeight="1" x14ac:dyDescent="0.4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</row>
    <row r="453" spans="1:26" ht="16.5" customHeight="1" x14ac:dyDescent="0.4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</row>
    <row r="454" spans="1:26" ht="16.5" customHeight="1" x14ac:dyDescent="0.4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</row>
    <row r="455" spans="1:26" ht="16.5" customHeight="1" x14ac:dyDescent="0.4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</row>
    <row r="456" spans="1:26" ht="16.5" customHeight="1" x14ac:dyDescent="0.4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</row>
    <row r="457" spans="1:26" ht="16.5" customHeight="1" x14ac:dyDescent="0.4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</row>
    <row r="458" spans="1:26" ht="16.5" customHeight="1" x14ac:dyDescent="0.4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</row>
    <row r="459" spans="1:26" ht="16.5" customHeight="1" x14ac:dyDescent="0.4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</row>
    <row r="460" spans="1:26" ht="16.5" customHeight="1" x14ac:dyDescent="0.4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</row>
    <row r="461" spans="1:26" ht="16.5" customHeight="1" x14ac:dyDescent="0.4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</row>
    <row r="462" spans="1:26" ht="16.5" customHeight="1" x14ac:dyDescent="0.4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</row>
    <row r="463" spans="1:26" ht="16.5" customHeight="1" x14ac:dyDescent="0.4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</row>
    <row r="464" spans="1:26" ht="16.5" customHeight="1" x14ac:dyDescent="0.4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</row>
    <row r="465" spans="1:26" ht="16.5" customHeight="1" x14ac:dyDescent="0.4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</row>
    <row r="466" spans="1:26" ht="16.5" customHeight="1" x14ac:dyDescent="0.4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</row>
    <row r="467" spans="1:26" ht="16.5" customHeight="1" x14ac:dyDescent="0.4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</row>
    <row r="468" spans="1:26" ht="16.5" customHeight="1" x14ac:dyDescent="0.4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</row>
    <row r="469" spans="1:26" ht="16.5" customHeight="1" x14ac:dyDescent="0.4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</row>
    <row r="470" spans="1:26" ht="16.5" customHeight="1" x14ac:dyDescent="0.4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</row>
    <row r="471" spans="1:26" ht="16.5" customHeight="1" x14ac:dyDescent="0.4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</row>
    <row r="472" spans="1:26" ht="16.5" customHeight="1" x14ac:dyDescent="0.4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</row>
    <row r="473" spans="1:26" ht="16.5" customHeight="1" x14ac:dyDescent="0.4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</row>
    <row r="474" spans="1:26" ht="16.5" customHeight="1" x14ac:dyDescent="0.4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</row>
    <row r="475" spans="1:26" ht="16.5" customHeight="1" x14ac:dyDescent="0.4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</row>
    <row r="476" spans="1:26" ht="16.5" customHeight="1" x14ac:dyDescent="0.4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</row>
    <row r="477" spans="1:26" ht="16.5" customHeight="1" x14ac:dyDescent="0.4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</row>
    <row r="478" spans="1:26" ht="16.5" customHeight="1" x14ac:dyDescent="0.4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</row>
    <row r="479" spans="1:26" ht="16.5" customHeight="1" x14ac:dyDescent="0.4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</row>
    <row r="480" spans="1:26" ht="16.5" customHeight="1" x14ac:dyDescent="0.4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</row>
    <row r="481" spans="1:26" ht="16.5" customHeight="1" x14ac:dyDescent="0.4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</row>
    <row r="482" spans="1:26" ht="16.5" customHeight="1" x14ac:dyDescent="0.4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</row>
    <row r="483" spans="1:26" ht="16.5" customHeight="1" x14ac:dyDescent="0.4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</row>
    <row r="484" spans="1:26" ht="16.5" customHeight="1" x14ac:dyDescent="0.4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</row>
    <row r="485" spans="1:26" ht="16.5" customHeight="1" x14ac:dyDescent="0.4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</row>
    <row r="486" spans="1:26" ht="16.5" customHeight="1" x14ac:dyDescent="0.4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</row>
    <row r="487" spans="1:26" ht="16.5" customHeight="1" x14ac:dyDescent="0.4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</row>
    <row r="488" spans="1:26" ht="16.5" customHeight="1" x14ac:dyDescent="0.4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</row>
    <row r="489" spans="1:26" ht="16.5" customHeight="1" x14ac:dyDescent="0.4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</row>
    <row r="490" spans="1:26" ht="16.5" customHeight="1" x14ac:dyDescent="0.4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</row>
    <row r="491" spans="1:26" ht="16.5" customHeight="1" x14ac:dyDescent="0.4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</row>
    <row r="492" spans="1:26" ht="16.5" customHeight="1" x14ac:dyDescent="0.4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</row>
    <row r="493" spans="1:26" ht="16.5" customHeight="1" x14ac:dyDescent="0.4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</row>
    <row r="494" spans="1:26" ht="16.5" customHeight="1" x14ac:dyDescent="0.4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</row>
    <row r="495" spans="1:26" ht="16.5" customHeight="1" x14ac:dyDescent="0.4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</row>
    <row r="496" spans="1:26" ht="16.5" customHeight="1" x14ac:dyDescent="0.4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</row>
    <row r="497" spans="1:26" ht="16.5" customHeight="1" x14ac:dyDescent="0.4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</row>
    <row r="498" spans="1:26" ht="16.5" customHeight="1" x14ac:dyDescent="0.4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</row>
    <row r="499" spans="1:26" ht="16.5" customHeight="1" x14ac:dyDescent="0.4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</row>
    <row r="500" spans="1:26" ht="16.5" customHeight="1" x14ac:dyDescent="0.4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</row>
    <row r="501" spans="1:26" ht="16.5" customHeight="1" x14ac:dyDescent="0.4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</row>
    <row r="502" spans="1:26" ht="16.5" customHeight="1" x14ac:dyDescent="0.4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</row>
    <row r="503" spans="1:26" ht="16.5" customHeight="1" x14ac:dyDescent="0.4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</row>
    <row r="504" spans="1:26" ht="16.5" customHeight="1" x14ac:dyDescent="0.4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</row>
    <row r="505" spans="1:26" ht="16.5" customHeight="1" x14ac:dyDescent="0.4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</row>
    <row r="506" spans="1:26" ht="16.5" customHeight="1" x14ac:dyDescent="0.4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</row>
    <row r="507" spans="1:26" ht="16.5" customHeight="1" x14ac:dyDescent="0.4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</row>
    <row r="508" spans="1:26" ht="16.5" customHeight="1" x14ac:dyDescent="0.4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</row>
    <row r="509" spans="1:26" ht="16.5" customHeight="1" x14ac:dyDescent="0.4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</row>
    <row r="510" spans="1:26" ht="16.5" customHeight="1" x14ac:dyDescent="0.4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</row>
    <row r="511" spans="1:26" ht="16.5" customHeight="1" x14ac:dyDescent="0.4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</row>
    <row r="512" spans="1:26" ht="16.5" customHeight="1" x14ac:dyDescent="0.4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</row>
    <row r="513" spans="1:26" ht="16.5" customHeight="1" x14ac:dyDescent="0.4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</row>
    <row r="514" spans="1:26" ht="16.5" customHeight="1" x14ac:dyDescent="0.4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</row>
    <row r="515" spans="1:26" ht="16.5" customHeight="1" x14ac:dyDescent="0.4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</row>
    <row r="516" spans="1:26" ht="16.5" customHeight="1" x14ac:dyDescent="0.4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</row>
    <row r="517" spans="1:26" ht="16.5" customHeight="1" x14ac:dyDescent="0.4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</row>
    <row r="518" spans="1:26" ht="16.5" customHeight="1" x14ac:dyDescent="0.4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</row>
    <row r="519" spans="1:26" ht="16.5" customHeight="1" x14ac:dyDescent="0.4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</row>
    <row r="520" spans="1:26" ht="16.5" customHeight="1" x14ac:dyDescent="0.4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</row>
    <row r="521" spans="1:26" ht="16.5" customHeight="1" x14ac:dyDescent="0.4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</row>
    <row r="522" spans="1:26" ht="16.5" customHeight="1" x14ac:dyDescent="0.4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</row>
    <row r="523" spans="1:26" ht="16.5" customHeight="1" x14ac:dyDescent="0.4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</row>
    <row r="524" spans="1:26" ht="16.5" customHeight="1" x14ac:dyDescent="0.4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</row>
    <row r="525" spans="1:26" ht="16.5" customHeight="1" x14ac:dyDescent="0.4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</row>
    <row r="526" spans="1:26" ht="16.5" customHeight="1" x14ac:dyDescent="0.4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</row>
    <row r="527" spans="1:26" ht="16.5" customHeight="1" x14ac:dyDescent="0.4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</row>
    <row r="528" spans="1:26" ht="16.5" customHeight="1" x14ac:dyDescent="0.4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</row>
    <row r="529" spans="1:26" ht="16.5" customHeight="1" x14ac:dyDescent="0.4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</row>
    <row r="530" spans="1:26" ht="16.5" customHeight="1" x14ac:dyDescent="0.4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</row>
    <row r="531" spans="1:26" ht="16.5" customHeight="1" x14ac:dyDescent="0.4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</row>
    <row r="532" spans="1:26" ht="16.5" customHeight="1" x14ac:dyDescent="0.4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</row>
    <row r="533" spans="1:26" ht="16.5" customHeight="1" x14ac:dyDescent="0.4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</row>
    <row r="534" spans="1:26" ht="16.5" customHeight="1" x14ac:dyDescent="0.4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</row>
    <row r="535" spans="1:26" ht="16.5" customHeight="1" x14ac:dyDescent="0.4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</row>
    <row r="536" spans="1:26" ht="16.5" customHeight="1" x14ac:dyDescent="0.4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</row>
    <row r="537" spans="1:26" ht="16.5" customHeight="1" x14ac:dyDescent="0.4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</row>
    <row r="538" spans="1:26" ht="16.5" customHeight="1" x14ac:dyDescent="0.4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</row>
    <row r="539" spans="1:26" ht="16.5" customHeight="1" x14ac:dyDescent="0.4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</row>
    <row r="540" spans="1:26" ht="16.5" customHeight="1" x14ac:dyDescent="0.4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</row>
    <row r="541" spans="1:26" ht="16.5" customHeight="1" x14ac:dyDescent="0.4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</row>
    <row r="542" spans="1:26" ht="16.5" customHeight="1" x14ac:dyDescent="0.4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</row>
    <row r="543" spans="1:26" ht="16.5" customHeight="1" x14ac:dyDescent="0.4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</row>
    <row r="544" spans="1:26" ht="16.5" customHeight="1" x14ac:dyDescent="0.4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</row>
    <row r="545" spans="1:26" ht="16.5" customHeight="1" x14ac:dyDescent="0.4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</row>
    <row r="546" spans="1:26" ht="16.5" customHeight="1" x14ac:dyDescent="0.4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</row>
    <row r="547" spans="1:26" ht="16.5" customHeight="1" x14ac:dyDescent="0.4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</row>
    <row r="548" spans="1:26" ht="16.5" customHeight="1" x14ac:dyDescent="0.4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</row>
    <row r="549" spans="1:26" ht="16.5" customHeight="1" x14ac:dyDescent="0.4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</row>
    <row r="550" spans="1:26" ht="16.5" customHeight="1" x14ac:dyDescent="0.4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</row>
    <row r="551" spans="1:26" ht="16.5" customHeight="1" x14ac:dyDescent="0.4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</row>
    <row r="552" spans="1:26" ht="16.5" customHeight="1" x14ac:dyDescent="0.4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</row>
    <row r="553" spans="1:26" ht="16.5" customHeight="1" x14ac:dyDescent="0.4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</row>
    <row r="554" spans="1:26" ht="16.5" customHeight="1" x14ac:dyDescent="0.4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</row>
    <row r="555" spans="1:26" ht="16.5" customHeight="1" x14ac:dyDescent="0.4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</row>
    <row r="556" spans="1:26" ht="16.5" customHeight="1" x14ac:dyDescent="0.4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</row>
    <row r="557" spans="1:26" ht="16.5" customHeight="1" x14ac:dyDescent="0.4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</row>
    <row r="558" spans="1:26" ht="16.5" customHeight="1" x14ac:dyDescent="0.4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</row>
    <row r="559" spans="1:26" ht="16.5" customHeight="1" x14ac:dyDescent="0.4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</row>
    <row r="560" spans="1:26" ht="16.5" customHeight="1" x14ac:dyDescent="0.4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</row>
    <row r="561" spans="1:26" ht="16.5" customHeight="1" x14ac:dyDescent="0.4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</row>
    <row r="562" spans="1:26" ht="16.5" customHeight="1" x14ac:dyDescent="0.4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</row>
    <row r="563" spans="1:26" ht="16.5" customHeight="1" x14ac:dyDescent="0.4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</row>
    <row r="564" spans="1:26" ht="16.5" customHeight="1" x14ac:dyDescent="0.4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</row>
    <row r="565" spans="1:26" ht="16.5" customHeight="1" x14ac:dyDescent="0.4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</row>
    <row r="566" spans="1:26" ht="16.5" customHeight="1" x14ac:dyDescent="0.4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</row>
    <row r="567" spans="1:26" ht="16.5" customHeight="1" x14ac:dyDescent="0.4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</row>
    <row r="568" spans="1:26" ht="16.5" customHeight="1" x14ac:dyDescent="0.4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</row>
    <row r="569" spans="1:26" ht="16.5" customHeight="1" x14ac:dyDescent="0.4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</row>
    <row r="570" spans="1:26" ht="16.5" customHeight="1" x14ac:dyDescent="0.4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</row>
    <row r="571" spans="1:26" ht="16.5" customHeight="1" x14ac:dyDescent="0.4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</row>
    <row r="572" spans="1:26" ht="16.5" customHeight="1" x14ac:dyDescent="0.4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</row>
    <row r="573" spans="1:26" ht="16.5" customHeight="1" x14ac:dyDescent="0.4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</row>
    <row r="574" spans="1:26" ht="16.5" customHeight="1" x14ac:dyDescent="0.4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</row>
    <row r="575" spans="1:26" ht="16.5" customHeight="1" x14ac:dyDescent="0.4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</row>
    <row r="576" spans="1:26" ht="16.5" customHeight="1" x14ac:dyDescent="0.4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</row>
    <row r="577" spans="1:26" ht="16.5" customHeight="1" x14ac:dyDescent="0.4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</row>
    <row r="578" spans="1:26" ht="16.5" customHeight="1" x14ac:dyDescent="0.4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</row>
    <row r="579" spans="1:26" ht="16.5" customHeight="1" x14ac:dyDescent="0.4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</row>
    <row r="580" spans="1:26" ht="16.5" customHeight="1" x14ac:dyDescent="0.4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</row>
    <row r="581" spans="1:26" ht="16.5" customHeight="1" x14ac:dyDescent="0.4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</row>
    <row r="582" spans="1:26" ht="16.5" customHeight="1" x14ac:dyDescent="0.4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</row>
    <row r="583" spans="1:26" ht="16.5" customHeight="1" x14ac:dyDescent="0.4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</row>
    <row r="584" spans="1:26" ht="16.5" customHeight="1" x14ac:dyDescent="0.4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</row>
    <row r="585" spans="1:26" ht="16.5" customHeight="1" x14ac:dyDescent="0.4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</row>
    <row r="586" spans="1:26" ht="16.5" customHeight="1" x14ac:dyDescent="0.4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</row>
    <row r="587" spans="1:26" ht="16.5" customHeight="1" x14ac:dyDescent="0.4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</row>
    <row r="588" spans="1:26" ht="16.5" customHeight="1" x14ac:dyDescent="0.4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</row>
    <row r="589" spans="1:26" ht="16.5" customHeight="1" x14ac:dyDescent="0.4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</row>
    <row r="590" spans="1:26" ht="16.5" customHeight="1" x14ac:dyDescent="0.4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</row>
    <row r="591" spans="1:26" ht="16.5" customHeight="1" x14ac:dyDescent="0.4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</row>
    <row r="592" spans="1:26" ht="16.5" customHeight="1" x14ac:dyDescent="0.4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</row>
    <row r="593" spans="1:26" ht="16.5" customHeight="1" x14ac:dyDescent="0.4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</row>
    <row r="594" spans="1:26" ht="16.5" customHeight="1" x14ac:dyDescent="0.4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</row>
    <row r="595" spans="1:26" ht="16.5" customHeight="1" x14ac:dyDescent="0.4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</row>
    <row r="596" spans="1:26" ht="16.5" customHeight="1" x14ac:dyDescent="0.4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</row>
    <row r="597" spans="1:26" ht="16.5" customHeight="1" x14ac:dyDescent="0.4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</row>
    <row r="598" spans="1:26" ht="16.5" customHeight="1" x14ac:dyDescent="0.4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</row>
    <row r="599" spans="1:26" ht="16.5" customHeight="1" x14ac:dyDescent="0.4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</row>
    <row r="600" spans="1:26" ht="16.5" customHeight="1" x14ac:dyDescent="0.4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</row>
    <row r="601" spans="1:26" ht="16.5" customHeight="1" x14ac:dyDescent="0.4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</row>
    <row r="602" spans="1:26" ht="16.5" customHeight="1" x14ac:dyDescent="0.4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</row>
    <row r="603" spans="1:26" ht="16.5" customHeight="1" x14ac:dyDescent="0.4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</row>
    <row r="604" spans="1:26" ht="16.5" customHeight="1" x14ac:dyDescent="0.4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</row>
    <row r="605" spans="1:26" ht="16.5" customHeight="1" x14ac:dyDescent="0.4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</row>
    <row r="606" spans="1:26" ht="16.5" customHeight="1" x14ac:dyDescent="0.4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</row>
    <row r="607" spans="1:26" ht="16.5" customHeight="1" x14ac:dyDescent="0.4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</row>
    <row r="608" spans="1:26" ht="16.5" customHeight="1" x14ac:dyDescent="0.4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</row>
    <row r="609" spans="1:26" ht="16.5" customHeight="1" x14ac:dyDescent="0.4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</row>
    <row r="610" spans="1:26" ht="16.5" customHeight="1" x14ac:dyDescent="0.4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</row>
    <row r="611" spans="1:26" ht="16.5" customHeight="1" x14ac:dyDescent="0.4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</row>
    <row r="612" spans="1:26" ht="16.5" customHeight="1" x14ac:dyDescent="0.4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</row>
    <row r="613" spans="1:26" ht="16.5" customHeight="1" x14ac:dyDescent="0.4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</row>
    <row r="614" spans="1:26" ht="16.5" customHeight="1" x14ac:dyDescent="0.4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</row>
    <row r="615" spans="1:26" ht="16.5" customHeight="1" x14ac:dyDescent="0.4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</row>
    <row r="616" spans="1:26" ht="16.5" customHeight="1" x14ac:dyDescent="0.4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</row>
    <row r="617" spans="1:26" ht="16.5" customHeight="1" x14ac:dyDescent="0.4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</row>
    <row r="618" spans="1:26" ht="16.5" customHeight="1" x14ac:dyDescent="0.4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</row>
    <row r="619" spans="1:26" ht="16.5" customHeight="1" x14ac:dyDescent="0.4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</row>
    <row r="620" spans="1:26" ht="16.5" customHeight="1" x14ac:dyDescent="0.4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</row>
    <row r="621" spans="1:26" ht="16.5" customHeight="1" x14ac:dyDescent="0.4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</row>
    <row r="622" spans="1:26" ht="16.5" customHeight="1" x14ac:dyDescent="0.4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</row>
    <row r="623" spans="1:26" ht="16.5" customHeight="1" x14ac:dyDescent="0.4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</row>
    <row r="624" spans="1:26" ht="16.5" customHeight="1" x14ac:dyDescent="0.4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</row>
    <row r="625" spans="1:26" ht="16.5" customHeight="1" x14ac:dyDescent="0.4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</row>
    <row r="626" spans="1:26" ht="16.5" customHeight="1" x14ac:dyDescent="0.4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</row>
    <row r="627" spans="1:26" ht="16.5" customHeight="1" x14ac:dyDescent="0.4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</row>
    <row r="628" spans="1:26" ht="16.5" customHeight="1" x14ac:dyDescent="0.4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</row>
    <row r="629" spans="1:26" ht="16.5" customHeight="1" x14ac:dyDescent="0.4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</row>
    <row r="630" spans="1:26" ht="16.5" customHeight="1" x14ac:dyDescent="0.4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</row>
    <row r="631" spans="1:26" ht="16.5" customHeight="1" x14ac:dyDescent="0.4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</row>
    <row r="632" spans="1:26" ht="16.5" customHeight="1" x14ac:dyDescent="0.4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</row>
    <row r="633" spans="1:26" ht="16.5" customHeight="1" x14ac:dyDescent="0.4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</row>
    <row r="634" spans="1:26" ht="16.5" customHeight="1" x14ac:dyDescent="0.4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</row>
    <row r="635" spans="1:26" ht="16.5" customHeight="1" x14ac:dyDescent="0.4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</row>
    <row r="636" spans="1:26" ht="16.5" customHeight="1" x14ac:dyDescent="0.4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</row>
    <row r="637" spans="1:26" ht="16.5" customHeight="1" x14ac:dyDescent="0.4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</row>
    <row r="638" spans="1:26" ht="16.5" customHeight="1" x14ac:dyDescent="0.4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</row>
    <row r="639" spans="1:26" ht="16.5" customHeight="1" x14ac:dyDescent="0.4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</row>
    <row r="640" spans="1:26" ht="16.5" customHeight="1" x14ac:dyDescent="0.4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</row>
    <row r="641" spans="1:26" ht="16.5" customHeight="1" x14ac:dyDescent="0.4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</row>
    <row r="642" spans="1:26" ht="16.5" customHeight="1" x14ac:dyDescent="0.4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</row>
    <row r="643" spans="1:26" ht="16.5" customHeight="1" x14ac:dyDescent="0.4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</row>
    <row r="644" spans="1:26" ht="16.5" customHeight="1" x14ac:dyDescent="0.4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</row>
    <row r="645" spans="1:26" ht="16.5" customHeight="1" x14ac:dyDescent="0.4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</row>
    <row r="646" spans="1:26" ht="16.5" customHeight="1" x14ac:dyDescent="0.4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</row>
    <row r="647" spans="1:26" ht="16.5" customHeight="1" x14ac:dyDescent="0.4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</row>
    <row r="648" spans="1:26" ht="16.5" customHeight="1" x14ac:dyDescent="0.4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</row>
    <row r="649" spans="1:26" ht="16.5" customHeight="1" x14ac:dyDescent="0.4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</row>
    <row r="650" spans="1:26" ht="16.5" customHeight="1" x14ac:dyDescent="0.4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</row>
    <row r="651" spans="1:26" ht="16.5" customHeight="1" x14ac:dyDescent="0.4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</row>
    <row r="652" spans="1:26" ht="16.5" customHeight="1" x14ac:dyDescent="0.4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</row>
    <row r="653" spans="1:26" ht="16.5" customHeight="1" x14ac:dyDescent="0.4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</row>
    <row r="654" spans="1:26" ht="16.5" customHeight="1" x14ac:dyDescent="0.4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</row>
    <row r="655" spans="1:26" ht="16.5" customHeight="1" x14ac:dyDescent="0.4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</row>
    <row r="656" spans="1:26" ht="16.5" customHeight="1" x14ac:dyDescent="0.4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</row>
    <row r="657" spans="1:26" ht="16.5" customHeight="1" x14ac:dyDescent="0.4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</row>
    <row r="658" spans="1:26" ht="16.5" customHeight="1" x14ac:dyDescent="0.4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</row>
    <row r="659" spans="1:26" ht="16.5" customHeight="1" x14ac:dyDescent="0.4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</row>
    <row r="660" spans="1:26" ht="16.5" customHeight="1" x14ac:dyDescent="0.4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</row>
    <row r="661" spans="1:26" ht="16.5" customHeight="1" x14ac:dyDescent="0.4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</row>
    <row r="662" spans="1:26" ht="16.5" customHeight="1" x14ac:dyDescent="0.4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</row>
    <row r="663" spans="1:26" ht="16.5" customHeight="1" x14ac:dyDescent="0.4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</row>
    <row r="664" spans="1:26" ht="16.5" customHeight="1" x14ac:dyDescent="0.4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</row>
    <row r="665" spans="1:26" ht="16.5" customHeight="1" x14ac:dyDescent="0.4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</row>
    <row r="666" spans="1:26" ht="16.5" customHeight="1" x14ac:dyDescent="0.4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</row>
    <row r="667" spans="1:26" ht="16.5" customHeight="1" x14ac:dyDescent="0.4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</row>
    <row r="668" spans="1:26" ht="16.5" customHeight="1" x14ac:dyDescent="0.4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</row>
    <row r="669" spans="1:26" ht="16.5" customHeight="1" x14ac:dyDescent="0.4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</row>
    <row r="670" spans="1:26" ht="16.5" customHeight="1" x14ac:dyDescent="0.4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</row>
    <row r="671" spans="1:26" ht="16.5" customHeight="1" x14ac:dyDescent="0.4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</row>
    <row r="672" spans="1:26" ht="16.5" customHeight="1" x14ac:dyDescent="0.4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</row>
    <row r="673" spans="1:26" ht="16.5" customHeight="1" x14ac:dyDescent="0.4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</row>
    <row r="674" spans="1:26" ht="16.5" customHeight="1" x14ac:dyDescent="0.4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</row>
    <row r="675" spans="1:26" ht="16.5" customHeight="1" x14ac:dyDescent="0.4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</row>
    <row r="676" spans="1:26" ht="16.5" customHeight="1" x14ac:dyDescent="0.4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</row>
    <row r="677" spans="1:26" ht="16.5" customHeight="1" x14ac:dyDescent="0.4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</row>
    <row r="678" spans="1:26" ht="16.5" customHeight="1" x14ac:dyDescent="0.4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</row>
    <row r="679" spans="1:26" ht="16.5" customHeight="1" x14ac:dyDescent="0.4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</row>
    <row r="680" spans="1:26" ht="16.5" customHeight="1" x14ac:dyDescent="0.4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</row>
    <row r="681" spans="1:26" ht="16.5" customHeight="1" x14ac:dyDescent="0.4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</row>
    <row r="682" spans="1:26" ht="16.5" customHeight="1" x14ac:dyDescent="0.4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</row>
    <row r="683" spans="1:26" ht="16.5" customHeight="1" x14ac:dyDescent="0.4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</row>
    <row r="684" spans="1:26" ht="16.5" customHeight="1" x14ac:dyDescent="0.4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</row>
    <row r="685" spans="1:26" ht="16.5" customHeight="1" x14ac:dyDescent="0.4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</row>
    <row r="686" spans="1:26" ht="16.5" customHeight="1" x14ac:dyDescent="0.4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</row>
    <row r="687" spans="1:26" ht="16.5" customHeight="1" x14ac:dyDescent="0.4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</row>
    <row r="688" spans="1:26" ht="16.5" customHeight="1" x14ac:dyDescent="0.4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</row>
    <row r="689" spans="1:26" ht="16.5" customHeight="1" x14ac:dyDescent="0.4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</row>
    <row r="690" spans="1:26" ht="16.5" customHeight="1" x14ac:dyDescent="0.4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</row>
    <row r="691" spans="1:26" ht="16.5" customHeight="1" x14ac:dyDescent="0.4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</row>
    <row r="692" spans="1:26" ht="16.5" customHeight="1" x14ac:dyDescent="0.4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</row>
    <row r="693" spans="1:26" ht="16.5" customHeight="1" x14ac:dyDescent="0.4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</row>
    <row r="694" spans="1:26" ht="16.5" customHeight="1" x14ac:dyDescent="0.4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</row>
    <row r="695" spans="1:26" ht="16.5" customHeight="1" x14ac:dyDescent="0.4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</row>
    <row r="696" spans="1:26" ht="16.5" customHeight="1" x14ac:dyDescent="0.4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</row>
    <row r="697" spans="1:26" ht="16.5" customHeight="1" x14ac:dyDescent="0.4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</row>
    <row r="698" spans="1:26" ht="16.5" customHeight="1" x14ac:dyDescent="0.4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</row>
    <row r="699" spans="1:26" ht="16.5" customHeight="1" x14ac:dyDescent="0.4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</row>
    <row r="700" spans="1:26" ht="16.5" customHeight="1" x14ac:dyDescent="0.4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</row>
    <row r="701" spans="1:26" ht="16.5" customHeight="1" x14ac:dyDescent="0.4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</row>
    <row r="702" spans="1:26" ht="16.5" customHeight="1" x14ac:dyDescent="0.4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</row>
    <row r="703" spans="1:26" ht="16.5" customHeight="1" x14ac:dyDescent="0.4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</row>
    <row r="704" spans="1:26" ht="16.5" customHeight="1" x14ac:dyDescent="0.4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</row>
    <row r="705" spans="1:26" ht="16.5" customHeight="1" x14ac:dyDescent="0.4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</row>
    <row r="706" spans="1:26" ht="16.5" customHeight="1" x14ac:dyDescent="0.4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</row>
    <row r="707" spans="1:26" ht="16.5" customHeight="1" x14ac:dyDescent="0.4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</row>
    <row r="708" spans="1:26" ht="16.5" customHeight="1" x14ac:dyDescent="0.4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</row>
    <row r="709" spans="1:26" ht="16.5" customHeight="1" x14ac:dyDescent="0.4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</row>
    <row r="710" spans="1:26" ht="16.5" customHeight="1" x14ac:dyDescent="0.4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</row>
    <row r="711" spans="1:26" ht="16.5" customHeight="1" x14ac:dyDescent="0.4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</row>
    <row r="712" spans="1:26" ht="16.5" customHeight="1" x14ac:dyDescent="0.4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</row>
    <row r="713" spans="1:26" ht="16.5" customHeight="1" x14ac:dyDescent="0.4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</row>
    <row r="714" spans="1:26" ht="16.5" customHeight="1" x14ac:dyDescent="0.4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</row>
    <row r="715" spans="1:26" ht="16.5" customHeight="1" x14ac:dyDescent="0.4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</row>
    <row r="716" spans="1:26" ht="16.5" customHeight="1" x14ac:dyDescent="0.4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</row>
    <row r="717" spans="1:26" ht="16.5" customHeight="1" x14ac:dyDescent="0.4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</row>
    <row r="718" spans="1:26" ht="16.5" customHeight="1" x14ac:dyDescent="0.4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</row>
    <row r="719" spans="1:26" ht="16.5" customHeight="1" x14ac:dyDescent="0.4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</row>
    <row r="720" spans="1:26" ht="16.5" customHeight="1" x14ac:dyDescent="0.4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</row>
    <row r="721" spans="1:26" ht="16.5" customHeight="1" x14ac:dyDescent="0.4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</row>
    <row r="722" spans="1:26" ht="16.5" customHeight="1" x14ac:dyDescent="0.4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</row>
    <row r="723" spans="1:26" ht="16.5" customHeight="1" x14ac:dyDescent="0.4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</row>
    <row r="724" spans="1:26" ht="16.5" customHeight="1" x14ac:dyDescent="0.4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</row>
    <row r="725" spans="1:26" ht="16.5" customHeight="1" x14ac:dyDescent="0.4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</row>
    <row r="726" spans="1:26" ht="16.5" customHeight="1" x14ac:dyDescent="0.4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</row>
    <row r="727" spans="1:26" ht="16.5" customHeight="1" x14ac:dyDescent="0.4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</row>
    <row r="728" spans="1:26" ht="16.5" customHeight="1" x14ac:dyDescent="0.4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</row>
    <row r="729" spans="1:26" ht="16.5" customHeight="1" x14ac:dyDescent="0.4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</row>
    <row r="730" spans="1:26" ht="16.5" customHeight="1" x14ac:dyDescent="0.4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</row>
    <row r="731" spans="1:26" ht="16.5" customHeight="1" x14ac:dyDescent="0.4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</row>
    <row r="732" spans="1:26" ht="16.5" customHeight="1" x14ac:dyDescent="0.4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</row>
    <row r="733" spans="1:26" ht="16.5" customHeight="1" x14ac:dyDescent="0.4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</row>
    <row r="734" spans="1:26" ht="16.5" customHeight="1" x14ac:dyDescent="0.4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</row>
    <row r="735" spans="1:26" ht="16.5" customHeight="1" x14ac:dyDescent="0.4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</row>
    <row r="736" spans="1:26" ht="16.5" customHeight="1" x14ac:dyDescent="0.4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</row>
    <row r="737" spans="1:26" ht="16.5" customHeight="1" x14ac:dyDescent="0.4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</row>
    <row r="738" spans="1:26" ht="16.5" customHeight="1" x14ac:dyDescent="0.4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</row>
    <row r="739" spans="1:26" ht="16.5" customHeight="1" x14ac:dyDescent="0.4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</row>
    <row r="740" spans="1:26" ht="16.5" customHeight="1" x14ac:dyDescent="0.4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</row>
    <row r="741" spans="1:26" ht="16.5" customHeight="1" x14ac:dyDescent="0.4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</row>
    <row r="742" spans="1:26" ht="16.5" customHeight="1" x14ac:dyDescent="0.4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</row>
    <row r="743" spans="1:26" ht="16.5" customHeight="1" x14ac:dyDescent="0.4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</row>
    <row r="744" spans="1:26" ht="16.5" customHeight="1" x14ac:dyDescent="0.4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</row>
    <row r="745" spans="1:26" ht="16.5" customHeight="1" x14ac:dyDescent="0.4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</row>
    <row r="746" spans="1:26" ht="16.5" customHeight="1" x14ac:dyDescent="0.4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</row>
    <row r="747" spans="1:26" ht="16.5" customHeight="1" x14ac:dyDescent="0.4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</row>
    <row r="748" spans="1:26" ht="16.5" customHeight="1" x14ac:dyDescent="0.4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</row>
    <row r="749" spans="1:26" ht="16.5" customHeight="1" x14ac:dyDescent="0.4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</row>
    <row r="750" spans="1:26" ht="16.5" customHeight="1" x14ac:dyDescent="0.4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</row>
    <row r="751" spans="1:26" ht="16.5" customHeight="1" x14ac:dyDescent="0.4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</row>
    <row r="752" spans="1:26" ht="16.5" customHeight="1" x14ac:dyDescent="0.4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</row>
    <row r="753" spans="1:26" ht="16.5" customHeight="1" x14ac:dyDescent="0.4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</row>
    <row r="754" spans="1:26" ht="16.5" customHeight="1" x14ac:dyDescent="0.4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</row>
    <row r="755" spans="1:26" ht="16.5" customHeight="1" x14ac:dyDescent="0.4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</row>
    <row r="756" spans="1:26" ht="16.5" customHeight="1" x14ac:dyDescent="0.4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</row>
    <row r="757" spans="1:26" ht="16.5" customHeight="1" x14ac:dyDescent="0.4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</row>
    <row r="758" spans="1:26" ht="16.5" customHeight="1" x14ac:dyDescent="0.4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</row>
    <row r="759" spans="1:26" ht="16.5" customHeight="1" x14ac:dyDescent="0.4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</row>
    <row r="760" spans="1:26" ht="16.5" customHeight="1" x14ac:dyDescent="0.4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</row>
    <row r="761" spans="1:26" ht="16.5" customHeight="1" x14ac:dyDescent="0.4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</row>
    <row r="762" spans="1:26" ht="16.5" customHeight="1" x14ac:dyDescent="0.4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</row>
    <row r="763" spans="1:26" ht="16.5" customHeight="1" x14ac:dyDescent="0.4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</row>
    <row r="764" spans="1:26" ht="16.5" customHeight="1" x14ac:dyDescent="0.4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</row>
    <row r="765" spans="1:26" ht="16.5" customHeight="1" x14ac:dyDescent="0.4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</row>
    <row r="766" spans="1:26" ht="16.5" customHeight="1" x14ac:dyDescent="0.4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</row>
    <row r="767" spans="1:26" ht="16.5" customHeight="1" x14ac:dyDescent="0.4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</row>
    <row r="768" spans="1:26" ht="16.5" customHeight="1" x14ac:dyDescent="0.4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</row>
    <row r="769" spans="1:26" ht="16.5" customHeight="1" x14ac:dyDescent="0.4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</row>
    <row r="770" spans="1:26" ht="16.5" customHeight="1" x14ac:dyDescent="0.4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</row>
    <row r="771" spans="1:26" ht="16.5" customHeight="1" x14ac:dyDescent="0.4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</row>
    <row r="772" spans="1:26" ht="16.5" customHeight="1" x14ac:dyDescent="0.4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</row>
    <row r="773" spans="1:26" ht="16.5" customHeight="1" x14ac:dyDescent="0.4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</row>
    <row r="774" spans="1:26" ht="16.5" customHeight="1" x14ac:dyDescent="0.4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</row>
    <row r="775" spans="1:26" ht="16.5" customHeight="1" x14ac:dyDescent="0.4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</row>
    <row r="776" spans="1:26" ht="16.5" customHeight="1" x14ac:dyDescent="0.4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</row>
    <row r="777" spans="1:26" ht="16.5" customHeight="1" x14ac:dyDescent="0.4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</row>
    <row r="778" spans="1:26" ht="16.5" customHeight="1" x14ac:dyDescent="0.4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</row>
    <row r="779" spans="1:26" ht="16.5" customHeight="1" x14ac:dyDescent="0.4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</row>
    <row r="780" spans="1:26" ht="16.5" customHeight="1" x14ac:dyDescent="0.4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</row>
    <row r="781" spans="1:26" ht="16.5" customHeight="1" x14ac:dyDescent="0.4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</row>
    <row r="782" spans="1:26" ht="16.5" customHeight="1" x14ac:dyDescent="0.4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</row>
    <row r="783" spans="1:26" ht="16.5" customHeight="1" x14ac:dyDescent="0.4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</row>
    <row r="784" spans="1:26" ht="16.5" customHeight="1" x14ac:dyDescent="0.4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</row>
    <row r="785" spans="1:26" ht="16.5" customHeight="1" x14ac:dyDescent="0.4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</row>
    <row r="786" spans="1:26" ht="16.5" customHeight="1" x14ac:dyDescent="0.4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</row>
    <row r="787" spans="1:26" ht="16.5" customHeight="1" x14ac:dyDescent="0.4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</row>
    <row r="788" spans="1:26" ht="16.5" customHeight="1" x14ac:dyDescent="0.4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</row>
    <row r="789" spans="1:26" ht="16.5" customHeight="1" x14ac:dyDescent="0.4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</row>
    <row r="790" spans="1:26" ht="16.5" customHeight="1" x14ac:dyDescent="0.4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</row>
    <row r="791" spans="1:26" ht="16.5" customHeight="1" x14ac:dyDescent="0.4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</row>
    <row r="792" spans="1:26" ht="16.5" customHeight="1" x14ac:dyDescent="0.4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</row>
    <row r="793" spans="1:26" ht="16.5" customHeight="1" x14ac:dyDescent="0.4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</row>
    <row r="794" spans="1:26" ht="16.5" customHeight="1" x14ac:dyDescent="0.4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</row>
    <row r="795" spans="1:26" ht="16.5" customHeight="1" x14ac:dyDescent="0.4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</row>
    <row r="796" spans="1:26" ht="16.5" customHeight="1" x14ac:dyDescent="0.4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</row>
    <row r="797" spans="1:26" ht="16.5" customHeight="1" x14ac:dyDescent="0.4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</row>
    <row r="798" spans="1:26" ht="16.5" customHeight="1" x14ac:dyDescent="0.4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</row>
    <row r="799" spans="1:26" ht="16.5" customHeight="1" x14ac:dyDescent="0.4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</row>
    <row r="800" spans="1:26" ht="16.5" customHeight="1" x14ac:dyDescent="0.4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</row>
    <row r="801" spans="1:26" ht="16.5" customHeight="1" x14ac:dyDescent="0.4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</row>
    <row r="802" spans="1:26" ht="16.5" customHeight="1" x14ac:dyDescent="0.4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</row>
    <row r="803" spans="1:26" ht="16.5" customHeight="1" x14ac:dyDescent="0.4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</row>
    <row r="804" spans="1:26" ht="16.5" customHeight="1" x14ac:dyDescent="0.4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</row>
    <row r="805" spans="1:26" ht="16.5" customHeight="1" x14ac:dyDescent="0.4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</row>
    <row r="806" spans="1:26" ht="16.5" customHeight="1" x14ac:dyDescent="0.4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</row>
    <row r="807" spans="1:26" ht="16.5" customHeight="1" x14ac:dyDescent="0.4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</row>
    <row r="808" spans="1:26" ht="16.5" customHeight="1" x14ac:dyDescent="0.4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</row>
    <row r="809" spans="1:26" ht="16.5" customHeight="1" x14ac:dyDescent="0.4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</row>
    <row r="810" spans="1:26" ht="16.5" customHeight="1" x14ac:dyDescent="0.4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</row>
    <row r="811" spans="1:26" ht="16.5" customHeight="1" x14ac:dyDescent="0.4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</row>
    <row r="812" spans="1:26" ht="16.5" customHeight="1" x14ac:dyDescent="0.4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</row>
    <row r="813" spans="1:26" ht="16.5" customHeight="1" x14ac:dyDescent="0.4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</row>
    <row r="814" spans="1:26" ht="16.5" customHeight="1" x14ac:dyDescent="0.4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</row>
    <row r="815" spans="1:26" ht="16.5" customHeight="1" x14ac:dyDescent="0.4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</row>
    <row r="816" spans="1:26" ht="16.5" customHeight="1" x14ac:dyDescent="0.4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</row>
    <row r="817" spans="1:26" ht="16.5" customHeight="1" x14ac:dyDescent="0.4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</row>
    <row r="818" spans="1:26" ht="16.5" customHeight="1" x14ac:dyDescent="0.4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</row>
    <row r="819" spans="1:26" ht="16.5" customHeight="1" x14ac:dyDescent="0.4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</row>
    <row r="820" spans="1:26" ht="16.5" customHeight="1" x14ac:dyDescent="0.4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</row>
    <row r="821" spans="1:26" ht="16.5" customHeight="1" x14ac:dyDescent="0.4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</row>
    <row r="822" spans="1:26" ht="16.5" customHeight="1" x14ac:dyDescent="0.4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</row>
    <row r="823" spans="1:26" ht="16.5" customHeight="1" x14ac:dyDescent="0.4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</row>
    <row r="824" spans="1:26" ht="16.5" customHeight="1" x14ac:dyDescent="0.4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</row>
    <row r="825" spans="1:26" ht="16.5" customHeight="1" x14ac:dyDescent="0.4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</row>
    <row r="826" spans="1:26" ht="16.5" customHeight="1" x14ac:dyDescent="0.4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</row>
    <row r="827" spans="1:26" ht="16.5" customHeight="1" x14ac:dyDescent="0.4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</row>
    <row r="828" spans="1:26" ht="16.5" customHeight="1" x14ac:dyDescent="0.4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</row>
    <row r="829" spans="1:26" ht="16.5" customHeight="1" x14ac:dyDescent="0.4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</row>
    <row r="830" spans="1:26" ht="16.5" customHeight="1" x14ac:dyDescent="0.4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</row>
    <row r="831" spans="1:26" ht="16.5" customHeight="1" x14ac:dyDescent="0.4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</row>
    <row r="832" spans="1:26" ht="16.5" customHeight="1" x14ac:dyDescent="0.4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</row>
    <row r="833" spans="1:26" ht="16.5" customHeight="1" x14ac:dyDescent="0.4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</row>
    <row r="834" spans="1:26" ht="16.5" customHeight="1" x14ac:dyDescent="0.4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</row>
    <row r="835" spans="1:26" ht="16.5" customHeight="1" x14ac:dyDescent="0.4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</row>
    <row r="836" spans="1:26" ht="16.5" customHeight="1" x14ac:dyDescent="0.4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</row>
    <row r="837" spans="1:26" ht="16.5" customHeight="1" x14ac:dyDescent="0.4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</row>
    <row r="838" spans="1:26" ht="16.5" customHeight="1" x14ac:dyDescent="0.4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</row>
    <row r="839" spans="1:26" ht="16.5" customHeight="1" x14ac:dyDescent="0.4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</row>
    <row r="840" spans="1:26" ht="16.5" customHeight="1" x14ac:dyDescent="0.4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</row>
    <row r="841" spans="1:26" ht="16.5" customHeight="1" x14ac:dyDescent="0.4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</row>
    <row r="842" spans="1:26" ht="16.5" customHeight="1" x14ac:dyDescent="0.4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</row>
    <row r="843" spans="1:26" ht="16.5" customHeight="1" x14ac:dyDescent="0.4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</row>
    <row r="844" spans="1:26" ht="16.5" customHeight="1" x14ac:dyDescent="0.4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</row>
    <row r="845" spans="1:26" ht="16.5" customHeight="1" x14ac:dyDescent="0.4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</row>
    <row r="846" spans="1:26" ht="16.5" customHeight="1" x14ac:dyDescent="0.4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</row>
    <row r="847" spans="1:26" ht="16.5" customHeight="1" x14ac:dyDescent="0.4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</row>
    <row r="848" spans="1:26" ht="16.5" customHeight="1" x14ac:dyDescent="0.4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</row>
    <row r="849" spans="1:26" ht="16.5" customHeight="1" x14ac:dyDescent="0.4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</row>
    <row r="850" spans="1:26" ht="16.5" customHeight="1" x14ac:dyDescent="0.4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</row>
    <row r="851" spans="1:26" ht="16.5" customHeight="1" x14ac:dyDescent="0.4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</row>
    <row r="852" spans="1:26" ht="16.5" customHeight="1" x14ac:dyDescent="0.4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</row>
    <row r="853" spans="1:26" ht="16.5" customHeight="1" x14ac:dyDescent="0.4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</row>
    <row r="854" spans="1:26" ht="16.5" customHeight="1" x14ac:dyDescent="0.4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</row>
    <row r="855" spans="1:26" ht="16.5" customHeight="1" x14ac:dyDescent="0.4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</row>
    <row r="856" spans="1:26" ht="16.5" customHeight="1" x14ac:dyDescent="0.4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</row>
    <row r="857" spans="1:26" ht="16.5" customHeight="1" x14ac:dyDescent="0.4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</row>
    <row r="858" spans="1:26" ht="16.5" customHeight="1" x14ac:dyDescent="0.4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</row>
    <row r="859" spans="1:26" ht="16.5" customHeight="1" x14ac:dyDescent="0.4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</row>
    <row r="860" spans="1:26" ht="16.5" customHeight="1" x14ac:dyDescent="0.4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</row>
    <row r="861" spans="1:26" ht="16.5" customHeight="1" x14ac:dyDescent="0.4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</row>
    <row r="862" spans="1:26" ht="16.5" customHeight="1" x14ac:dyDescent="0.4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</row>
    <row r="863" spans="1:26" ht="16.5" customHeight="1" x14ac:dyDescent="0.4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</row>
    <row r="864" spans="1:26" ht="16.5" customHeight="1" x14ac:dyDescent="0.4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</row>
    <row r="865" spans="1:26" ht="16.5" customHeight="1" x14ac:dyDescent="0.4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</row>
    <row r="866" spans="1:26" ht="16.5" customHeight="1" x14ac:dyDescent="0.4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</row>
    <row r="867" spans="1:26" ht="16.5" customHeight="1" x14ac:dyDescent="0.4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</row>
    <row r="868" spans="1:26" ht="16.5" customHeight="1" x14ac:dyDescent="0.4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</row>
    <row r="869" spans="1:26" ht="16.5" customHeight="1" x14ac:dyDescent="0.4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</row>
    <row r="870" spans="1:26" ht="16.5" customHeight="1" x14ac:dyDescent="0.4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</row>
    <row r="871" spans="1:26" ht="16.5" customHeight="1" x14ac:dyDescent="0.4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</row>
    <row r="872" spans="1:26" ht="16.5" customHeight="1" x14ac:dyDescent="0.4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</row>
    <row r="873" spans="1:26" ht="16.5" customHeight="1" x14ac:dyDescent="0.4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</row>
    <row r="874" spans="1:26" ht="16.5" customHeight="1" x14ac:dyDescent="0.4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</row>
    <row r="875" spans="1:26" ht="16.5" customHeight="1" x14ac:dyDescent="0.4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</row>
    <row r="876" spans="1:26" ht="16.5" customHeight="1" x14ac:dyDescent="0.4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</row>
    <row r="877" spans="1:26" ht="16.5" customHeight="1" x14ac:dyDescent="0.4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</row>
    <row r="878" spans="1:26" ht="16.5" customHeight="1" x14ac:dyDescent="0.4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</row>
    <row r="879" spans="1:26" ht="16.5" customHeight="1" x14ac:dyDescent="0.4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</row>
    <row r="880" spans="1:26" ht="16.5" customHeight="1" x14ac:dyDescent="0.4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</row>
    <row r="881" spans="1:26" ht="16.5" customHeight="1" x14ac:dyDescent="0.4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</row>
    <row r="882" spans="1:26" ht="16.5" customHeight="1" x14ac:dyDescent="0.4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</row>
    <row r="883" spans="1:26" ht="16.5" customHeight="1" x14ac:dyDescent="0.4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</row>
    <row r="884" spans="1:26" ht="16.5" customHeight="1" x14ac:dyDescent="0.4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</row>
    <row r="885" spans="1:26" ht="16.5" customHeight="1" x14ac:dyDescent="0.4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</row>
    <row r="886" spans="1:26" ht="16.5" customHeight="1" x14ac:dyDescent="0.4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</row>
    <row r="887" spans="1:26" ht="16.5" customHeight="1" x14ac:dyDescent="0.4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</row>
    <row r="888" spans="1:26" ht="16.5" customHeight="1" x14ac:dyDescent="0.4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</row>
    <row r="889" spans="1:26" ht="16.5" customHeight="1" x14ac:dyDescent="0.4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</row>
    <row r="890" spans="1:26" ht="16.5" customHeight="1" x14ac:dyDescent="0.4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</row>
    <row r="891" spans="1:26" ht="16.5" customHeight="1" x14ac:dyDescent="0.4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</row>
    <row r="892" spans="1:26" ht="16.5" customHeight="1" x14ac:dyDescent="0.4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</row>
    <row r="893" spans="1:26" ht="16.5" customHeight="1" x14ac:dyDescent="0.4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</row>
    <row r="894" spans="1:26" ht="16.5" customHeight="1" x14ac:dyDescent="0.4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</row>
    <row r="895" spans="1:26" ht="16.5" customHeight="1" x14ac:dyDescent="0.4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</row>
    <row r="896" spans="1:26" ht="16.5" customHeight="1" x14ac:dyDescent="0.4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</row>
    <row r="897" spans="1:26" ht="16.5" customHeight="1" x14ac:dyDescent="0.4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</row>
    <row r="898" spans="1:26" ht="16.5" customHeight="1" x14ac:dyDescent="0.4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</row>
    <row r="899" spans="1:26" ht="16.5" customHeight="1" x14ac:dyDescent="0.4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</row>
    <row r="900" spans="1:26" ht="16.5" customHeight="1" x14ac:dyDescent="0.4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</row>
    <row r="901" spans="1:26" ht="16.5" customHeight="1" x14ac:dyDescent="0.4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</row>
    <row r="902" spans="1:26" ht="16.5" customHeight="1" x14ac:dyDescent="0.4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</row>
    <row r="903" spans="1:26" ht="16.5" customHeight="1" x14ac:dyDescent="0.4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</row>
    <row r="904" spans="1:26" ht="16.5" customHeight="1" x14ac:dyDescent="0.4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</row>
    <row r="905" spans="1:26" ht="16.5" customHeight="1" x14ac:dyDescent="0.4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</row>
    <row r="906" spans="1:26" ht="16.5" customHeight="1" x14ac:dyDescent="0.4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</row>
    <row r="907" spans="1:26" ht="16.5" customHeight="1" x14ac:dyDescent="0.4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</row>
    <row r="908" spans="1:26" ht="16.5" customHeight="1" x14ac:dyDescent="0.4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</row>
    <row r="909" spans="1:26" ht="16.5" customHeight="1" x14ac:dyDescent="0.4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</row>
    <row r="910" spans="1:26" ht="16.5" customHeight="1" x14ac:dyDescent="0.4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</row>
    <row r="911" spans="1:26" ht="16.5" customHeight="1" x14ac:dyDescent="0.4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</row>
    <row r="912" spans="1:26" ht="16.5" customHeight="1" x14ac:dyDescent="0.4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</row>
    <row r="913" spans="1:26" ht="16.5" customHeight="1" x14ac:dyDescent="0.4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</row>
    <row r="914" spans="1:26" ht="16.5" customHeight="1" x14ac:dyDescent="0.4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</row>
    <row r="915" spans="1:26" ht="16.5" customHeight="1" x14ac:dyDescent="0.4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</row>
    <row r="916" spans="1:26" ht="16.5" customHeight="1" x14ac:dyDescent="0.4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</row>
    <row r="917" spans="1:26" ht="16.5" customHeight="1" x14ac:dyDescent="0.4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</row>
    <row r="918" spans="1:26" ht="16.5" customHeight="1" x14ac:dyDescent="0.4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</row>
    <row r="919" spans="1:26" ht="16.5" customHeight="1" x14ac:dyDescent="0.4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</row>
    <row r="920" spans="1:26" ht="16.5" customHeight="1" x14ac:dyDescent="0.4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</row>
    <row r="921" spans="1:26" ht="16.5" customHeight="1" x14ac:dyDescent="0.4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</row>
    <row r="922" spans="1:26" ht="16.5" customHeight="1" x14ac:dyDescent="0.4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</row>
    <row r="923" spans="1:26" ht="16.5" customHeight="1" x14ac:dyDescent="0.4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</row>
    <row r="924" spans="1:26" ht="16.5" customHeight="1" x14ac:dyDescent="0.4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</row>
    <row r="925" spans="1:26" ht="16.5" customHeight="1" x14ac:dyDescent="0.4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</row>
    <row r="926" spans="1:26" ht="16.5" customHeight="1" x14ac:dyDescent="0.4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</row>
    <row r="927" spans="1:26" ht="16.5" customHeight="1" x14ac:dyDescent="0.4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</row>
    <row r="928" spans="1:26" ht="16.5" customHeight="1" x14ac:dyDescent="0.4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</row>
    <row r="929" spans="1:26" ht="16.5" customHeight="1" x14ac:dyDescent="0.4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</row>
    <row r="930" spans="1:26" ht="16.5" customHeight="1" x14ac:dyDescent="0.4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</row>
    <row r="931" spans="1:26" ht="16.5" customHeight="1" x14ac:dyDescent="0.4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</row>
    <row r="932" spans="1:26" ht="16.5" customHeight="1" x14ac:dyDescent="0.4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</row>
    <row r="933" spans="1:26" ht="16.5" customHeight="1" x14ac:dyDescent="0.4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</row>
    <row r="934" spans="1:26" ht="16.5" customHeight="1" x14ac:dyDescent="0.4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</row>
    <row r="935" spans="1:26" ht="16.5" customHeight="1" x14ac:dyDescent="0.4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</row>
    <row r="936" spans="1:26" ht="16.5" customHeight="1" x14ac:dyDescent="0.4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</row>
    <row r="937" spans="1:26" ht="16.5" customHeight="1" x14ac:dyDescent="0.4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</row>
    <row r="938" spans="1:26" ht="16.5" customHeight="1" x14ac:dyDescent="0.4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</row>
    <row r="939" spans="1:26" ht="16.5" customHeight="1" x14ac:dyDescent="0.4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</row>
    <row r="940" spans="1:26" ht="16.5" customHeight="1" x14ac:dyDescent="0.4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</row>
    <row r="941" spans="1:26" ht="16.5" customHeight="1" x14ac:dyDescent="0.4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</row>
    <row r="942" spans="1:26" ht="16.5" customHeight="1" x14ac:dyDescent="0.4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</row>
    <row r="943" spans="1:26" ht="16.5" customHeight="1" x14ac:dyDescent="0.4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</row>
    <row r="944" spans="1:26" ht="16.5" customHeight="1" x14ac:dyDescent="0.4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</row>
    <row r="945" spans="1:26" ht="16.5" customHeight="1" x14ac:dyDescent="0.4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</row>
    <row r="946" spans="1:26" ht="16.5" customHeight="1" x14ac:dyDescent="0.4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</row>
    <row r="947" spans="1:26" ht="16.5" customHeight="1" x14ac:dyDescent="0.4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</row>
    <row r="948" spans="1:26" ht="16.5" customHeight="1" x14ac:dyDescent="0.4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</row>
    <row r="949" spans="1:26" ht="16.5" customHeight="1" x14ac:dyDescent="0.4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</row>
    <row r="950" spans="1:26" ht="16.5" customHeight="1" x14ac:dyDescent="0.4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</row>
    <row r="951" spans="1:26" ht="16.5" customHeight="1" x14ac:dyDescent="0.4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</row>
    <row r="952" spans="1:26" ht="16.5" customHeight="1" x14ac:dyDescent="0.4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</row>
    <row r="953" spans="1:26" ht="16.5" customHeight="1" x14ac:dyDescent="0.4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</row>
    <row r="954" spans="1:26" ht="16.5" customHeight="1" x14ac:dyDescent="0.4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</row>
    <row r="955" spans="1:26" ht="16.5" customHeight="1" x14ac:dyDescent="0.4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</row>
    <row r="956" spans="1:26" ht="16.5" customHeight="1" x14ac:dyDescent="0.4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</row>
    <row r="957" spans="1:26" ht="16.5" customHeight="1" x14ac:dyDescent="0.4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</row>
    <row r="958" spans="1:26" ht="16.5" customHeight="1" x14ac:dyDescent="0.4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</row>
    <row r="959" spans="1:26" ht="16.5" customHeight="1" x14ac:dyDescent="0.4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</row>
    <row r="960" spans="1:26" ht="16.5" customHeight="1" x14ac:dyDescent="0.4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</row>
    <row r="961" spans="1:26" ht="16.5" customHeight="1" x14ac:dyDescent="0.4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</row>
    <row r="962" spans="1:26" ht="16.5" customHeight="1" x14ac:dyDescent="0.4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</row>
    <row r="963" spans="1:26" ht="16.5" customHeight="1" x14ac:dyDescent="0.4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</row>
    <row r="964" spans="1:26" ht="16.5" customHeight="1" x14ac:dyDescent="0.4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</row>
    <row r="965" spans="1:26" ht="16.5" customHeight="1" x14ac:dyDescent="0.4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</row>
    <row r="966" spans="1:26" ht="16.5" customHeight="1" x14ac:dyDescent="0.4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</row>
    <row r="967" spans="1:26" ht="16.5" customHeight="1" x14ac:dyDescent="0.4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</row>
    <row r="968" spans="1:26" ht="16.5" customHeight="1" x14ac:dyDescent="0.4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</row>
    <row r="969" spans="1:26" ht="16.5" customHeight="1" x14ac:dyDescent="0.4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</row>
    <row r="970" spans="1:26" ht="16.5" customHeight="1" x14ac:dyDescent="0.4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</row>
    <row r="971" spans="1:26" ht="16.5" customHeight="1" x14ac:dyDescent="0.4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</row>
    <row r="972" spans="1:26" ht="16.5" customHeight="1" x14ac:dyDescent="0.4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</row>
    <row r="973" spans="1:26" ht="16.5" customHeight="1" x14ac:dyDescent="0.4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</row>
    <row r="974" spans="1:26" ht="16.5" customHeight="1" x14ac:dyDescent="0.4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</row>
    <row r="975" spans="1:26" ht="16.5" customHeight="1" x14ac:dyDescent="0.4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</row>
    <row r="976" spans="1:26" ht="16.5" customHeight="1" x14ac:dyDescent="0.4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</row>
    <row r="977" spans="1:26" ht="16.5" customHeight="1" x14ac:dyDescent="0.4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</row>
    <row r="978" spans="1:26" ht="16.5" customHeight="1" x14ac:dyDescent="0.4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</row>
    <row r="979" spans="1:26" ht="16.5" customHeight="1" x14ac:dyDescent="0.4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</row>
    <row r="980" spans="1:26" ht="16.5" customHeight="1" x14ac:dyDescent="0.4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</row>
    <row r="981" spans="1:26" ht="16.5" customHeight="1" x14ac:dyDescent="0.4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</row>
    <row r="982" spans="1:26" ht="16.5" customHeight="1" x14ac:dyDescent="0.4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</row>
    <row r="983" spans="1:26" ht="16.5" customHeight="1" x14ac:dyDescent="0.4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</row>
    <row r="984" spans="1:26" ht="16.5" customHeight="1" x14ac:dyDescent="0.4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</row>
    <row r="985" spans="1:26" ht="16.5" customHeight="1" x14ac:dyDescent="0.4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</row>
    <row r="986" spans="1:26" ht="16.5" customHeight="1" x14ac:dyDescent="0.4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</row>
    <row r="987" spans="1:26" ht="16.5" customHeight="1" x14ac:dyDescent="0.4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</row>
    <row r="988" spans="1:26" ht="16.5" customHeight="1" x14ac:dyDescent="0.4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</row>
    <row r="989" spans="1:26" ht="16.5" customHeight="1" x14ac:dyDescent="0.4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</row>
    <row r="990" spans="1:26" ht="16.5" customHeight="1" x14ac:dyDescent="0.4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</row>
    <row r="991" spans="1:26" ht="16.5" customHeight="1" x14ac:dyDescent="0.4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</row>
    <row r="992" spans="1:26" ht="16.5" customHeight="1" x14ac:dyDescent="0.4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</row>
    <row r="993" spans="1:26" ht="16.5" customHeight="1" x14ac:dyDescent="0.4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</row>
    <row r="994" spans="1:26" ht="16.5" customHeight="1" x14ac:dyDescent="0.4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</row>
    <row r="995" spans="1:26" ht="16.5" customHeight="1" x14ac:dyDescent="0.4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</row>
    <row r="996" spans="1:26" ht="16.5" customHeight="1" x14ac:dyDescent="0.4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</row>
    <row r="997" spans="1:26" ht="16.5" customHeight="1" x14ac:dyDescent="0.4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</row>
    <row r="998" spans="1:26" ht="16.5" customHeight="1" x14ac:dyDescent="0.4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</row>
    <row r="999" spans="1:26" ht="16.5" customHeight="1" x14ac:dyDescent="0.4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</row>
    <row r="1000" spans="1:26" ht="16.5" customHeight="1" x14ac:dyDescent="0.4">
      <c r="A1000" s="1"/>
      <c r="B1000" s="1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</row>
  </sheetData>
  <sheetProtection sheet="1" objects="1" scenarios="1"/>
  <mergeCells count="92">
    <mergeCell ref="C43:D43"/>
    <mergeCell ref="C79:E79"/>
    <mergeCell ref="C80:E80"/>
    <mergeCell ref="B81:E81"/>
    <mergeCell ref="B83:F83"/>
    <mergeCell ref="C76:E76"/>
    <mergeCell ref="C77:E77"/>
    <mergeCell ref="C78:E78"/>
    <mergeCell ref="C61:D61"/>
    <mergeCell ref="B62:E62"/>
    <mergeCell ref="C66:D66"/>
    <mergeCell ref="C67:D67"/>
    <mergeCell ref="C68:D68"/>
    <mergeCell ref="C56:D56"/>
    <mergeCell ref="C57:D57"/>
    <mergeCell ref="C58:D58"/>
    <mergeCell ref="C38:D38"/>
    <mergeCell ref="C39:D39"/>
    <mergeCell ref="C40:D40"/>
    <mergeCell ref="C41:D41"/>
    <mergeCell ref="C42:D42"/>
    <mergeCell ref="C33:D33"/>
    <mergeCell ref="B34:E34"/>
    <mergeCell ref="B35:F35"/>
    <mergeCell ref="C36:D36"/>
    <mergeCell ref="C37:D37"/>
    <mergeCell ref="C26:E26"/>
    <mergeCell ref="C27:E27"/>
    <mergeCell ref="B28:E28"/>
    <mergeCell ref="C31:D31"/>
    <mergeCell ref="C32:D32"/>
    <mergeCell ref="C21:E21"/>
    <mergeCell ref="C22:E22"/>
    <mergeCell ref="C23:E23"/>
    <mergeCell ref="C24:E24"/>
    <mergeCell ref="C25:E25"/>
    <mergeCell ref="D15:F15"/>
    <mergeCell ref="D16:F16"/>
    <mergeCell ref="C17:E17"/>
    <mergeCell ref="B18:F18"/>
    <mergeCell ref="B19:E19"/>
    <mergeCell ref="C10:E10"/>
    <mergeCell ref="C11:E11"/>
    <mergeCell ref="C12:E12"/>
    <mergeCell ref="C14:D14"/>
    <mergeCell ref="E14:F14"/>
    <mergeCell ref="B6:C6"/>
    <mergeCell ref="D6:E6"/>
    <mergeCell ref="B7:F7"/>
    <mergeCell ref="C8:E8"/>
    <mergeCell ref="D9:F9"/>
    <mergeCell ref="B1:F1"/>
    <mergeCell ref="B2:D2"/>
    <mergeCell ref="B3:F3"/>
    <mergeCell ref="B4:F4"/>
    <mergeCell ref="B5:C5"/>
    <mergeCell ref="D5:F5"/>
    <mergeCell ref="B102:E102"/>
    <mergeCell ref="C87:D87"/>
    <mergeCell ref="C88:D88"/>
    <mergeCell ref="C89:D89"/>
    <mergeCell ref="C90:D90"/>
    <mergeCell ref="B91:E91"/>
    <mergeCell ref="C93:E93"/>
    <mergeCell ref="C94:E94"/>
    <mergeCell ref="C97:E97"/>
    <mergeCell ref="C98:E98"/>
    <mergeCell ref="C99:E99"/>
    <mergeCell ref="B100:E100"/>
    <mergeCell ref="B101:E101"/>
    <mergeCell ref="C95:E95"/>
    <mergeCell ref="C96:E96"/>
    <mergeCell ref="C84:D84"/>
    <mergeCell ref="C85:D85"/>
    <mergeCell ref="C86:D86"/>
    <mergeCell ref="C69:D69"/>
    <mergeCell ref="C70:D70"/>
    <mergeCell ref="C71:D71"/>
    <mergeCell ref="C72:D72"/>
    <mergeCell ref="B73:E73"/>
    <mergeCell ref="C59:D59"/>
    <mergeCell ref="C60:D60"/>
    <mergeCell ref="C50:E50"/>
    <mergeCell ref="C51:E51"/>
    <mergeCell ref="C52:E52"/>
    <mergeCell ref="B53:E53"/>
    <mergeCell ref="C55:D55"/>
    <mergeCell ref="C44:D44"/>
    <mergeCell ref="B45:E45"/>
    <mergeCell ref="C47:E47"/>
    <mergeCell ref="C48:E48"/>
    <mergeCell ref="C49:E49"/>
  </mergeCells>
  <conditionalFormatting sqref="F49">
    <cfRule type="cellIs" dxfId="0" priority="1" operator="equal">
      <formula>"Insira o % do PAT"</formula>
    </cfRule>
  </conditionalFormatting>
  <printOptions horizontalCentered="1"/>
  <pageMargins left="0.08" right="0.05" top="0.19685039370078741" bottom="0.15748031496062992" header="0" footer="0"/>
  <pageSetup paperSize="9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5</vt:i4>
      </vt:variant>
      <vt:variant>
        <vt:lpstr>Intervalos Nomeados</vt:lpstr>
      </vt:variant>
      <vt:variant>
        <vt:i4>163</vt:i4>
      </vt:variant>
    </vt:vector>
  </HeadingPairs>
  <TitlesOfParts>
    <vt:vector size="168" baseType="lpstr">
      <vt:lpstr>INSERÇÃO-DE-DADOS</vt:lpstr>
      <vt:lpstr>DADOS-ESTATISTICOS</vt:lpstr>
      <vt:lpstr>ENCARGOS-SOCIAIS-E-TRABALHISTAS</vt:lpstr>
      <vt:lpstr>POSTO 12x36 HORAS</vt:lpstr>
      <vt:lpstr>POSTO 40 HORAS</vt:lpstr>
      <vt:lpstr>ACORDO_COLETIVO</vt:lpstr>
      <vt:lpstr>ADESAO_AO_PAT</vt:lpstr>
      <vt:lpstr>'POSTO 12x36 HORAS'!AL_1_A_SAL_BASE_12x36</vt:lpstr>
      <vt:lpstr>'POSTO 40 HORAS'!AL_1_A_SAL_BASE_44H</vt:lpstr>
      <vt:lpstr>'POSTO 12x36 HORAS'!AL_1_B_ADIC_PERIC_12x36</vt:lpstr>
      <vt:lpstr>'POSTO 40 HORAS'!AL_1_B_ADIC_PERIC_44H</vt:lpstr>
      <vt:lpstr>'POSTO 12x36 HORAS'!AL_1_C_ADIC_NOT_12x36</vt:lpstr>
      <vt:lpstr>'POSTO 12x36 HORAS'!AL_1_D_ADIC_NOT_RED_12x36</vt:lpstr>
      <vt:lpstr>'POSTO 12x36 HORAS'!AL_2_1_A_DEC_TERC_12x36</vt:lpstr>
      <vt:lpstr>'POSTO 40 HORAS'!AL_2_1_A_DEC_TERC_44H</vt:lpstr>
      <vt:lpstr>'POSTO 12x36 HORAS'!AL_2_1_B_ADIC_FERIAS_12x36</vt:lpstr>
      <vt:lpstr>'POSTO 40 HORAS'!AL_2_1_B_ADIC_FERIAS_44H</vt:lpstr>
      <vt:lpstr>'POSTO 12x36 HORAS'!AL_2_2_FGTS_12x36</vt:lpstr>
      <vt:lpstr>'POSTO 40 HORAS'!AL_2_2_FGTS_44H</vt:lpstr>
      <vt:lpstr>'POSTO 12x36 HORAS'!AL_2_3_A_TRANSP_12x36</vt:lpstr>
      <vt:lpstr>'POSTO 40 HORAS'!AL_2_3_A_TRANSP_44H</vt:lpstr>
      <vt:lpstr>'POSTO 12x36 HORAS'!AL_2_3_B_AUX_ALIMENT_12x36</vt:lpstr>
      <vt:lpstr>'POSTO 40 HORAS'!AL_2_3_B_AUX_ALIMENT_44H</vt:lpstr>
      <vt:lpstr>'POSTO 12x36 HORAS'!AL_2_3_C_OUTROS_BENEF_12x36</vt:lpstr>
      <vt:lpstr>'POSTO 40 HORAS'!AL_2_3_C_OUTROS_BENEF_44H</vt:lpstr>
      <vt:lpstr>'POSTO 12x36 HORAS'!AL_2_A_ATE_2_G_GPS_12x36</vt:lpstr>
      <vt:lpstr>'POSTO 40 HORAS'!AL_2_A_ATE_2_G_GPS_44H</vt:lpstr>
      <vt:lpstr>'POSTO 12x36 HORAS'!AL_6_A_CUSTOS_INDIRETOS_12x36</vt:lpstr>
      <vt:lpstr>'POSTO 40 HORAS'!AL_6_A_CUSTOS_INDIRETOS_44H</vt:lpstr>
      <vt:lpstr>'POSTO 12x36 HORAS'!AL_6_B_LUCRO_12x36</vt:lpstr>
      <vt:lpstr>'POSTO 40 HORAS'!AL_6_B_LUCRO_44H</vt:lpstr>
      <vt:lpstr>'POSTO 12x36 HORAS'!AL_6_C_1_PIS_12x36</vt:lpstr>
      <vt:lpstr>'POSTO 40 HORAS'!AL_6_C_1_PIS_44H</vt:lpstr>
      <vt:lpstr>'POSTO 12x36 HORAS'!AL_6_C_2_COFINS_12x36</vt:lpstr>
      <vt:lpstr>'POSTO 40 HORAS'!AL_6_C_2_COFINS_44H</vt:lpstr>
      <vt:lpstr>'POSTO 12x36 HORAS'!AL_6_C_3_ISS_12x36</vt:lpstr>
      <vt:lpstr>'POSTO 40 HORAS'!AL_6_C_3_ISS_44H</vt:lpstr>
      <vt:lpstr>'POSTO 12x36 HORAS'!AL_6_C_TRIBUTOS_12x36</vt:lpstr>
      <vt:lpstr>'POSTO 40 HORAS'!AL_6_C_TRIBUTOS_44H</vt:lpstr>
      <vt:lpstr>ALIMENTACAO_POR_DIA</vt:lpstr>
      <vt:lpstr>BC_ADIC_INSALUB</vt:lpstr>
      <vt:lpstr>CATEGORIA_PROFISSIONAL</vt:lpstr>
      <vt:lpstr>CBO</vt:lpstr>
      <vt:lpstr>DATA_APRESENTACAO_PROPOSTA</vt:lpstr>
      <vt:lpstr>DATA_BASE_CATEGORIA</vt:lpstr>
      <vt:lpstr>DATA_DO_ORCAMENTO_ESTIMATIVO</vt:lpstr>
      <vt:lpstr>DATA_LICITACAO</vt:lpstr>
      <vt:lpstr>DIAS_AUSENCIAS_LEGAIS</vt:lpstr>
      <vt:lpstr>DIAS_LICENCA_MATERNIDADE</vt:lpstr>
      <vt:lpstr>DIAS_LICENCA_PATERNIDADE</vt:lpstr>
      <vt:lpstr>DIAS_NA_SEMANA</vt:lpstr>
      <vt:lpstr>DIAS_NO_ANO</vt:lpstr>
      <vt:lpstr>DIAS_NO_MES</vt:lpstr>
      <vt:lpstr>DIAS_PAGOS_EMPRESA_ACID_TRAB</vt:lpstr>
      <vt:lpstr>DIAS_TRABALHADOS_NO_MES_12X36</vt:lpstr>
      <vt:lpstr>DIAS_UTEIS_TRABALHADOS_NO_MES_44HORAS</vt:lpstr>
      <vt:lpstr>DIVISOR_DE_HORAS</vt:lpstr>
      <vt:lpstr>EMPREG_POR_POSTO</vt:lpstr>
      <vt:lpstr>EQUIPAMENTOS</vt:lpstr>
      <vt:lpstr>FAP</vt:lpstr>
      <vt:lpstr>HORA_NORMAL</vt:lpstr>
      <vt:lpstr>HORA_NOTURNA</vt:lpstr>
      <vt:lpstr>HORARIO_LICITACAO</vt:lpstr>
      <vt:lpstr>INCID_FGTS_SOBRE_API</vt:lpstr>
      <vt:lpstr>INCID_SUBMOD_2_2_APT</vt:lpstr>
      <vt:lpstr>LOCAL_DE_EXECUCAO</vt:lpstr>
      <vt:lpstr>MATERIAIS</vt:lpstr>
      <vt:lpstr>MEDIA_ANUAL_DIAS_TRABALHO_MES</vt:lpstr>
      <vt:lpstr>MESES_NO_ANO</vt:lpstr>
      <vt:lpstr>MOD_1_REMUNERACAO_12X36</vt:lpstr>
      <vt:lpstr>'POSTO 40 HORAS'!MOD_1_REMUNERACAO_44H</vt:lpstr>
      <vt:lpstr>'POSTO 12x36 HORAS'!MOD_3_PROVISAO_RESCISAO_12x36</vt:lpstr>
      <vt:lpstr>'POSTO 40 HORAS'!MOD_3_PROVISAO_RESCISAO_44H</vt:lpstr>
      <vt:lpstr>'POSTO 40 HORAS'!MOD_4_CUSTO_REPOSICAO_44H</vt:lpstr>
      <vt:lpstr>'POSTO 12x36 HORAS'!MOD_5_INSUMOS_12x36</vt:lpstr>
      <vt:lpstr>'POSTO 40 HORAS'!MOD_5_INSUMOS_44H</vt:lpstr>
      <vt:lpstr>'POSTO 12x36 HORAS'!MOD_6_CUSTOS_IND_LUCRO_TRIB_12x36</vt:lpstr>
      <vt:lpstr>'POSTO 40 HORAS'!MOD_6_CUSTOS_IND_LUCRO_TRIB_44H</vt:lpstr>
      <vt:lpstr>MODALIDADE_DE_LICITACAO</vt:lpstr>
      <vt:lpstr>NUMERO_MESES_EXEC_CONTRATUAL</vt:lpstr>
      <vt:lpstr>NUMERO_PREGAO</vt:lpstr>
      <vt:lpstr>NUMERO_PROCESSO</vt:lpstr>
      <vt:lpstr>OUTRAS_AUSENCIAS</vt:lpstr>
      <vt:lpstr>OUTRAS_AUSENCIAS_DESCRICAO</vt:lpstr>
      <vt:lpstr>OUTROS_BENEFICIOS_1</vt:lpstr>
      <vt:lpstr>OUTROS_BENEFICIOS_1_DESCRICAO</vt:lpstr>
      <vt:lpstr>OUTROS_BENEFICIOS_2</vt:lpstr>
      <vt:lpstr>OUTROS_BENEFICIOS_2_DESCRICAO</vt:lpstr>
      <vt:lpstr>OUTROS_BENEFICIOS_3</vt:lpstr>
      <vt:lpstr>OUTROS_BENEFICIOS_3_DESCRICAO</vt:lpstr>
      <vt:lpstr>OUTROS_INSUMOS</vt:lpstr>
      <vt:lpstr>OUTROS_INSUMOS_DESCRICAO</vt:lpstr>
      <vt:lpstr>OUTROS_REMUNERACAO_1</vt:lpstr>
      <vt:lpstr>OUTROS_REMUNERACAO_1_DESCRICAO</vt:lpstr>
      <vt:lpstr>OUTROS_REMUNERACAO_2</vt:lpstr>
      <vt:lpstr>OUTROS_REMUNERACAO_2_DESCRICAO</vt:lpstr>
      <vt:lpstr>OUTROS_REMUNERACAO_3</vt:lpstr>
      <vt:lpstr>OUTROS_REMUNERACAO_3_DESCRICAO</vt:lpstr>
      <vt:lpstr>PERC_ADIC_FERIAS</vt:lpstr>
      <vt:lpstr>PERC_ADIC_INS</vt:lpstr>
      <vt:lpstr>PERC_ADIC_NOT</vt:lpstr>
      <vt:lpstr>PERC_ADIC_PERIC</vt:lpstr>
      <vt:lpstr>PERC_AVISO_PREVIO_IND</vt:lpstr>
      <vt:lpstr>PERC_AVISO_PREVIO_TRAB</vt:lpstr>
      <vt:lpstr>PERC_COFINS</vt:lpstr>
      <vt:lpstr>PERC_CUSTOS_INDIRETOS</vt:lpstr>
      <vt:lpstr>PERC_DEC_TERC</vt:lpstr>
      <vt:lpstr>PERC_DESC_TRANSP_REMUNERACAO</vt:lpstr>
      <vt:lpstr>PERC_EMPREG_AFAST_TRAB</vt:lpstr>
      <vt:lpstr>PERC_EMPREG_AVISO_PREVIO_IND</vt:lpstr>
      <vt:lpstr>PERC_EMPREG_AVISO_PREVIO_TRAB</vt:lpstr>
      <vt:lpstr>PERC_EMPREG_DEMIT_SEM_JUSTA_CAUSA_TOTAL_DESLIG</vt:lpstr>
      <vt:lpstr>PERC_FAP</vt:lpstr>
      <vt:lpstr>PERC_FGTS</vt:lpstr>
      <vt:lpstr>PERC_GPS_FGTS</vt:lpstr>
      <vt:lpstr>PERC_HORA_EXTRA</vt:lpstr>
      <vt:lpstr>PERC_INCRA</vt:lpstr>
      <vt:lpstr>PERC_INSS</vt:lpstr>
      <vt:lpstr>PERC_ISS</vt:lpstr>
      <vt:lpstr>PERC_LUCRO</vt:lpstr>
      <vt:lpstr>'POSTO 12x36 HORAS'!PERC_MOD_3_PROVISAO_RESCISAO</vt:lpstr>
      <vt:lpstr>'POSTO 40 HORAS'!PERC_MOD_3_PROVISAO_RESCISAO</vt:lpstr>
      <vt:lpstr>PERC_MULTA_FGTS</vt:lpstr>
      <vt:lpstr>PERC_MULTA_FGTS_AV_PREV_IND</vt:lpstr>
      <vt:lpstr>PERC_MULTA_FGTS_AV_PREV_TRAB</vt:lpstr>
      <vt:lpstr>PERC_NASCIDOS_VIVOS_POPUL_FEM</vt:lpstr>
      <vt:lpstr>PERC_PARTIC_FEM_VIGIL</vt:lpstr>
      <vt:lpstr>PERC_PARTIC_MASC_VIGIL</vt:lpstr>
      <vt:lpstr>PERC_PAT</vt:lpstr>
      <vt:lpstr>PERC_PIS</vt:lpstr>
      <vt:lpstr>PERC_RAT</vt:lpstr>
      <vt:lpstr>PERC_SAL_EDUCACAO</vt:lpstr>
      <vt:lpstr>PERC_SEBRAE</vt:lpstr>
      <vt:lpstr>PERC_SENAC</vt:lpstr>
      <vt:lpstr>PERC_SESC</vt:lpstr>
      <vt:lpstr>PERC_SUBSTITUTO_ACID_TRAB</vt:lpstr>
      <vt:lpstr>PERC_SUBSTITUTO_AFAST_MATERN</vt:lpstr>
      <vt:lpstr>PERC_SUBSTITUTO_AUSENCIAS_LEGAIS</vt:lpstr>
      <vt:lpstr>PERC_SUBSTITUTO_FERIAS</vt:lpstr>
      <vt:lpstr>PERC_SUBSTITUTO_LICENCA_PATERNIDADE</vt:lpstr>
      <vt:lpstr>PERC_SUBSTITUTO_OUTRAS_AUSENCIAS</vt:lpstr>
      <vt:lpstr>'POSTO 12x36 HORAS'!PERC_TRIBUTOS</vt:lpstr>
      <vt:lpstr>'POSTO 40 HORAS'!PERC_TRIBUTOS</vt:lpstr>
      <vt:lpstr>'POSTO 12x36 HORAS'!QTDE_POSTOS</vt:lpstr>
      <vt:lpstr>'POSTO 40 HORAS'!QTDE_POSTOS</vt:lpstr>
      <vt:lpstr>RAMO</vt:lpstr>
      <vt:lpstr>SAL_MINIMO</vt:lpstr>
      <vt:lpstr>SALARIO_BASE</vt:lpstr>
      <vt:lpstr>'POSTO 12x36 HORAS'!SUBMOD_2_1_DEC_TERC_ADIC_FERIAS_12x36</vt:lpstr>
      <vt:lpstr>SUBMOD_2_1_DEC_TERC_ADIC_FERIAS_44H</vt:lpstr>
      <vt:lpstr>'POSTO 12x36 HORAS'!SUBMOD_2_2_GPS_FGTS_12x36</vt:lpstr>
      <vt:lpstr>'POSTO 40 HORAS'!SUBMOD_2_2_GPS_FGTS_44H</vt:lpstr>
      <vt:lpstr>'POSTO 12x36 HORAS'!SUBMOD_2_3_BENEFICIOS_12x36</vt:lpstr>
      <vt:lpstr>'POSTO 40 HORAS'!SUBMOD_2_3_BENEFICIOS_44H</vt:lpstr>
      <vt:lpstr>SUBMOD_2_4_INTERVALO_INTRAJORNADA_12X36</vt:lpstr>
      <vt:lpstr>'POSTO 12x36 HORAS'!SUBMOD_4_1_SUBSTITUTO_12x36</vt:lpstr>
      <vt:lpstr>'POSTO 40 HORAS'!SUBMOD_4_1_SUBSTITUTO_44H</vt:lpstr>
      <vt:lpstr>'POSTO 12x36 HORAS'!SUBMOD_4_2_INTRAJORNADA_12x36</vt:lpstr>
      <vt:lpstr>TEMPO_INTERVALO_REFEICAO_INTERV_INTRA</vt:lpstr>
      <vt:lpstr>TEMPO_INTERVALO_REFEICAO_SUBST_INTRA</vt:lpstr>
      <vt:lpstr>TIPO_DE_SERVICO</vt:lpstr>
      <vt:lpstr>TRANSPORTE_POR_DIA</vt:lpstr>
      <vt:lpstr>UG</vt:lpstr>
      <vt:lpstr>UNIFORMES</vt:lpstr>
      <vt:lpstr>'POSTO 12x36 HORAS'!VALOR_TOTAL_EMPREGADO_12x36</vt:lpstr>
      <vt:lpstr>'POSTO 40 HORAS'!VALOR_TOTAL_EMPREGADO_44H</vt:lpstr>
      <vt:lpstr>'POSTO 12x36 HORAS'!VALOR_TOTAL_POSTO_12x36</vt:lpstr>
      <vt:lpstr>'POSTO 40 HORAS'!VALOR_TOTAL_POSTO_44H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André Felipe Flores da Silva</dc:creator>
  <cp:lastModifiedBy>Marciel Rubens da Silva</cp:lastModifiedBy>
  <dcterms:created xsi:type="dcterms:W3CDTF">2014-02-07T18:14:59Z</dcterms:created>
  <dcterms:modified xsi:type="dcterms:W3CDTF">2026-04-01T14:19:28Z</dcterms:modified>
</cp:coreProperties>
</file>