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Marciel\Desktop\"/>
    </mc:Choice>
  </mc:AlternateContent>
  <xr:revisionPtr revIDLastSave="0" documentId="8_{C3F10BCE-E892-4B3B-AE1E-B268E92352E8}" xr6:coauthVersionLast="47" xr6:coauthVersionMax="47" xr10:uidLastSave="{00000000-0000-0000-0000-000000000000}"/>
  <bookViews>
    <workbookView xWindow="-108" yWindow="-108" windowWidth="23256" windowHeight="12456" firstSheet="1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state="hidden" r:id="rId4"/>
    <sheet name="POSTO 40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40 HORAS'!$F$22</definedName>
    <definedName name="AL_1_B_ADIC_PERIC_12x36" localSheetId="3">'POSTO 12x36 HORAS'!$F$23</definedName>
    <definedName name="AL_1_B_ADIC_PERIC_44H" localSheetId="4">'POSTO 40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40 HORAS'!$F$32</definedName>
    <definedName name="AL_2_1_B_ADIC_FERIAS_12x36" localSheetId="3">'POSTO 12x36 HORAS'!$F$35</definedName>
    <definedName name="AL_2_1_B_ADIC_FERIAS_44H" localSheetId="4">'POSTO 40 HORAS'!$F$33</definedName>
    <definedName name="AL_2_2_FGTS_12x36" localSheetId="3">'POSTO 12x36 HORAS'!$F$46</definedName>
    <definedName name="AL_2_2_FGTS_44H" localSheetId="4">'POSTO 40 HORAS'!$F$44</definedName>
    <definedName name="AL_2_3_A_TRANSP_12x36" localSheetId="3">'POSTO 12x36 HORAS'!$F$50</definedName>
    <definedName name="AL_2_3_A_TRANSP_44H" localSheetId="4">'POSTO 40 HORAS'!$F$48</definedName>
    <definedName name="AL_2_3_B_AUX_ALIMENT_12x36" localSheetId="3">'POSTO 12x36 HORAS'!$F$51</definedName>
    <definedName name="AL_2_3_B_AUX_ALIMENT_44H" localSheetId="4">'POSTO 40 HORAS'!$F$49</definedName>
    <definedName name="AL_2_3_C_OUTROS_BENEF_12x36" localSheetId="3">'POSTO 12x36 HORAS'!$F$52</definedName>
    <definedName name="AL_2_3_C_OUTROS_BENEF_44H" localSheetId="4">'POSTO 40 HORAS'!$F$50</definedName>
    <definedName name="AL_2_A_ATE_2_G_GPS_12x36" localSheetId="3">'POSTO 12x36 HORAS'!$F$39:$F$45</definedName>
    <definedName name="AL_2_A_ATE_2_G_GPS_44H" localSheetId="4">'POSTO 40 HORAS'!$F$37:$F$43</definedName>
    <definedName name="AL_6_A_CUSTOS_INDIRETOS_12x36" localSheetId="3">'POSTO 12x36 HORAS'!$F$95</definedName>
    <definedName name="AL_6_A_CUSTOS_INDIRETOS_44H" localSheetId="4">'POSTO 40 HORAS'!$F$85</definedName>
    <definedName name="AL_6_B_LUCRO_12x36" localSheetId="3">'POSTO 12x36 HORAS'!$F$96</definedName>
    <definedName name="AL_6_B_LUCRO_44H" localSheetId="4">'POSTO 40 HORAS'!$F$86</definedName>
    <definedName name="AL_6_C_1_PIS_12x36" localSheetId="3">'POSTO 12x36 HORAS'!$F$98</definedName>
    <definedName name="AL_6_C_1_PIS_44H" localSheetId="4">'POSTO 40 HORAS'!$F$88</definedName>
    <definedName name="AL_6_C_2_COFINS_12x36" localSheetId="3">'POSTO 12x36 HORAS'!$F$99</definedName>
    <definedName name="AL_6_C_2_COFINS_44H" localSheetId="4">'POSTO 40 HORAS'!$F$89</definedName>
    <definedName name="AL_6_C_3_ISS_12x36" localSheetId="3">'POSTO 12x36 HORAS'!$F$100</definedName>
    <definedName name="AL_6_C_3_ISS_44H" localSheetId="4">'POSTO 40 HORAS'!$F$90</definedName>
    <definedName name="AL_6_C_TRIBUTOS_12x36" localSheetId="3">'POSTO 12x36 HORAS'!$F$97</definedName>
    <definedName name="AL_6_C_TRIBUTOS_44H" localSheetId="4">'POSTO 40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40 HORAS'!$F$28</definedName>
    <definedName name="MOD_2_ENCARGOS_BENEFICIOS_12x36" localSheetId="3">'POSTO 12x36 HORAS'!$F$36+'POSTO 12x36 HORAS'!$F$47+'POSTO 12x36 HORAS'!$F$55</definedName>
    <definedName name="MOD_2_ENCARGOS_BENEFICIOS_44H" localSheetId="4">'POSTO 40 HORAS'!$F$34+'POSTO 40 HORAS'!$F$45+'POSTO 40 HORAS'!$F$53</definedName>
    <definedName name="MOD_3_PROVISAO_RESCISAO_12x36" localSheetId="3">'POSTO 12x36 HORAS'!$F$68</definedName>
    <definedName name="MOD_3_PROVISAO_RESCISAO_44H" localSheetId="4">'POSTO 40 HORAS'!$F$62</definedName>
    <definedName name="MOD_4_CUSTO_REPOSICAO_12x36" localSheetId="3">'POSTO 12x36 HORAS'!$F$79+'POSTO 12x36 HORAS'!$F$83</definedName>
    <definedName name="MOD_4_CUSTO_REPOSICAO_44H" localSheetId="4">'POSTO 40 HORAS'!$F$73</definedName>
    <definedName name="MOD_5_INSUMOS_12x36" localSheetId="3">'POSTO 12x36 HORAS'!$F$91</definedName>
    <definedName name="MOD_5_INSUMOS_44H" localSheetId="4">'POSTO 40 HORAS'!$F$81</definedName>
    <definedName name="MOD_6_CUSTOS_IND_LUCRO_TRIB_12x36" localSheetId="3">'POSTO 12x36 HORAS'!$F$101</definedName>
    <definedName name="MOD_6_CUSTOS_IND_LUCRO_TRIB_44H" localSheetId="4">'POSTO 40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40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40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40 HORAS'!$F$34</definedName>
    <definedName name="SUBMOD_2_2_GPS_FGTS_12x36" localSheetId="3">'POSTO 12x36 HORAS'!$F$47</definedName>
    <definedName name="SUBMOD_2_2_GPS_FGTS_44H" localSheetId="4">'POSTO 40 HORAS'!$F$45</definedName>
    <definedName name="SUBMOD_2_3_BENEFICIOS_12x36" localSheetId="3">'POSTO 12x36 HORAS'!$F$55</definedName>
    <definedName name="SUBMOD_2_3_BENEFICIOS_44H" localSheetId="4">'POSTO 40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40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40 HORAS'!$F$100</definedName>
    <definedName name="VALOR_TOTAL_POSTO_12x36" localSheetId="3">'POSTO 12x36 HORAS'!$F$111</definedName>
    <definedName name="VALOR_TOTAL_POSTO_44H" localSheetId="4">'POSTO 40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6" i="5"/>
  <c r="E85" i="5"/>
  <c r="F80" i="5"/>
  <c r="C80" i="5"/>
  <c r="F79" i="5"/>
  <c r="F78" i="5"/>
  <c r="F77" i="5"/>
  <c r="E72" i="5"/>
  <c r="C72" i="5"/>
  <c r="E67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 s="1"/>
  <c r="E96" i="4"/>
  <c r="E95" i="4"/>
  <c r="F90" i="4"/>
  <c r="C90" i="4"/>
  <c r="F89" i="4"/>
  <c r="F88" i="4"/>
  <c r="F87" i="4"/>
  <c r="E78" i="4"/>
  <c r="C78" i="4"/>
  <c r="E76" i="4"/>
  <c r="E64" i="4"/>
  <c r="F54" i="4"/>
  <c r="C54" i="4"/>
  <c r="F53" i="4"/>
  <c r="C53" i="4"/>
  <c r="F52" i="4"/>
  <c r="C52" i="4"/>
  <c r="F51" i="4"/>
  <c r="F50" i="4"/>
  <c r="E46" i="4"/>
  <c r="E45" i="4"/>
  <c r="E44" i="4"/>
  <c r="E43" i="4"/>
  <c r="E42" i="4"/>
  <c r="E40" i="4"/>
  <c r="E39" i="4"/>
  <c r="E35" i="4"/>
  <c r="E34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2" i="3"/>
  <c r="E31" i="3"/>
  <c r="E30" i="3"/>
  <c r="E29" i="3"/>
  <c r="E73" i="4" s="1"/>
  <c r="E25" i="3"/>
  <c r="E23" i="3"/>
  <c r="E59" i="5" s="1"/>
  <c r="E22" i="3"/>
  <c r="E20" i="3"/>
  <c r="E11" i="3"/>
  <c r="E6" i="3"/>
  <c r="E33" i="5" s="1"/>
  <c r="E5" i="3"/>
  <c r="F33" i="2"/>
  <c r="E87" i="5" l="1"/>
  <c r="F81" i="5"/>
  <c r="F98" i="5" s="1"/>
  <c r="F91" i="4"/>
  <c r="F108" i="4" s="1"/>
  <c r="F55" i="4"/>
  <c r="F28" i="5"/>
  <c r="F32" i="5"/>
  <c r="F33" i="5"/>
  <c r="F34" i="5" s="1"/>
  <c r="F94" i="5"/>
  <c r="F24" i="4"/>
  <c r="F30" i="4" s="1"/>
  <c r="F48" i="5"/>
  <c r="F53" i="5" s="1"/>
  <c r="E67" i="4"/>
  <c r="E62" i="4"/>
  <c r="E74" i="4"/>
  <c r="E39" i="5"/>
  <c r="E61" i="5"/>
  <c r="E75" i="4"/>
  <c r="E68" i="5"/>
  <c r="E65" i="4"/>
  <c r="E21" i="3"/>
  <c r="E41" i="4"/>
  <c r="E56" i="5"/>
  <c r="E32" i="5"/>
  <c r="E69" i="5"/>
  <c r="E70" i="5"/>
  <c r="E58" i="5"/>
  <c r="E17" i="3"/>
  <c r="F39" i="5" l="1"/>
  <c r="F56" i="5"/>
  <c r="F61" i="5"/>
  <c r="F44" i="5"/>
  <c r="F40" i="5"/>
  <c r="F43" i="5"/>
  <c r="F42" i="5"/>
  <c r="F41" i="5"/>
  <c r="F38" i="5"/>
  <c r="F37" i="5"/>
  <c r="E33" i="3"/>
  <c r="E24" i="3"/>
  <c r="F59" i="5"/>
  <c r="F104" i="4"/>
  <c r="F35" i="4"/>
  <c r="F34" i="4"/>
  <c r="F58" i="4"/>
  <c r="F59" i="4" s="1"/>
  <c r="F58" i="5"/>
  <c r="F57" i="5"/>
  <c r="E57" i="5"/>
  <c r="E63" i="4"/>
  <c r="F36" i="4" l="1"/>
  <c r="F63" i="4" s="1"/>
  <c r="E66" i="4"/>
  <c r="F60" i="5"/>
  <c r="F62" i="5" s="1"/>
  <c r="F96" i="5" s="1"/>
  <c r="E60" i="5"/>
  <c r="E71" i="5"/>
  <c r="E77" i="4"/>
  <c r="F45" i="5"/>
  <c r="F71" i="5" s="1"/>
  <c r="F40" i="4"/>
  <c r="F65" i="4"/>
  <c r="F43" i="4" l="1"/>
  <c r="F41" i="4"/>
  <c r="F66" i="4"/>
  <c r="F68" i="4" s="1"/>
  <c r="F106" i="4" s="1"/>
  <c r="F62" i="4"/>
  <c r="F42" i="4"/>
  <c r="F64" i="4"/>
  <c r="F67" i="4"/>
  <c r="F44" i="4"/>
  <c r="F46" i="4"/>
  <c r="F39" i="4"/>
  <c r="F45" i="4"/>
  <c r="F68" i="5"/>
  <c r="F72" i="5"/>
  <c r="F70" i="5"/>
  <c r="F67" i="5"/>
  <c r="F69" i="5"/>
  <c r="F95" i="5"/>
  <c r="F47" i="4" l="1"/>
  <c r="F82" i="4"/>
  <c r="F83" i="4" s="1"/>
  <c r="F75" i="4" a="1"/>
  <c r="F75" i="4" s="1"/>
  <c r="F74" i="4" a="1"/>
  <c r="F74" i="4" s="1"/>
  <c r="F78" i="4" a="1"/>
  <c r="F78" i="4" s="1"/>
  <c r="F105" i="4"/>
  <c r="F76" i="4" a="1"/>
  <c r="F76" i="4" s="1"/>
  <c r="F73" i="4" a="1"/>
  <c r="F73" i="4" s="1"/>
  <c r="F77" i="4" a="1"/>
  <c r="F77" i="4" s="1"/>
  <c r="F73" i="5"/>
  <c r="F79" i="4" l="1"/>
  <c r="F107" i="4" s="1"/>
  <c r="F97" i="5"/>
  <c r="F85" i="5"/>
  <c r="F86" i="5" s="1"/>
  <c r="F89" i="5" s="1"/>
  <c r="F95" i="4"/>
  <c r="F88" i="5" l="1"/>
  <c r="F90" i="5"/>
  <c r="F96" i="4"/>
  <c r="F100" i="4" s="1"/>
  <c r="F87" i="5" l="1"/>
  <c r="F91" i="5" s="1"/>
  <c r="F99" i="5" s="1"/>
  <c r="F100" i="5" s="1"/>
  <c r="F102" i="5" s="1"/>
  <c r="F99" i="4"/>
  <c r="F98" i="4"/>
  <c r="F101" i="5" l="1"/>
  <c r="F97" i="4"/>
  <c r="F101" i="4" s="1"/>
  <c r="F109" i="4" s="1"/>
  <c r="F110" i="4" s="1"/>
  <c r="F112" i="4" s="1"/>
  <c r="F11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<sst xmlns="http://schemas.openxmlformats.org/spreadsheetml/2006/main" count="616" uniqueCount="208">
  <si>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</si>
  <si>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</si>
  <si>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</si>
  <si>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</si>
  <si>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</si>
  <si>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</si>
  <si>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</si>
  <si>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</si>
  <si>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</si>
  <si>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</si>
  <si>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</si>
  <si>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</si>
  <si>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</si>
  <si>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</si>
  <si>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</si>
  <si>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</si>
  <si>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</si>
  <si>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</si>
  <si>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</si>
  <si>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</si>
  <si>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</si>
  <si>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</si>
  <si>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</si>
  <si>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</si>
  <si>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</si>
  <si>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</si>
  <si>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</si>
  <si>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</si>
  <si>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</si>
  <si>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</si>
  <si>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</si>
  <si>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</si>
  <si>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</si>
  <si>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</si>
  <si>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</si>
  <si>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</si>
  <si>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</si>
  <si>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</si>
  <si>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</si>
  <si>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</si>
  <si>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</si>
  <si>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</si>
  <si>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</si>
  <si>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</si>
  <si>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</si>
  <si>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</si>
  <si>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</si>
  <si>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</si>
  <si>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</si>
  <si>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</si>
  <si>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</si>
  <si>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</si>
  <si>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</si>
  <si>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</si>
  <si>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</si>
  <si>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</si>
  <si>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</si>
  <si>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</si>
  <si>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</si>
  <si>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</si>
  <si>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</si>
  <si>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</si>
  <si>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</si>
  <si>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</si>
  <si>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</si>
  <si>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</si>
  <si>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</si>
  <si>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</si>
  <si>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</si>
  <si>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</si>
  <si>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</si>
  <si>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</si>
  <si>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</si>
  <si>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</si>
  <si>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</si>
  <si>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</si>
  <si>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</si>
  <si>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</si>
  <si>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</si>
  <si>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</si>
  <si>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</si>
  <si>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</si>
  <si>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</si>
  <si>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</si>
  <si>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</si>
  <si>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</si>
  <si>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</si>
  <si>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</si>
  <si>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</si>
  <si>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</si>
  <si>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</si>
  <si>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</si>
  <si>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</si>
  <si>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</si>
  <si>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</si>
  <si>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</si>
  <si>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</si>
  <si>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</si>
  <si>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</si>
  <si>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</si>
  <si>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</si>
  <si>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</si>
  <si>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</si>
  <si>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</si>
  <si>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</si>
  <si>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</si>
  <si>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</si>
  <si>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</si>
  <si>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</si>
  <si>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</si>
  <si>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</si>
  <si>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</si>
  <si>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</si>
  <si>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</si>
  <si>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</si>
  <si>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</si>
  <si>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</si>
  <si>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</si>
  <si>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</si>
  <si>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</si>
  <si>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</si>
  <si>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</si>
  <si>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</si>
  <si>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</si>
  <si>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</si>
  <si>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</si>
  <si>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</si>
  <si>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</si>
  <si>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</si>
  <si>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</si>
  <si>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</si>
  <si>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</si>
  <si>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</si>
  <si>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</si>
  <si>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</si>
  <si>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</si>
  <si>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</si>
  <si>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</si>
  <si>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</si>
  <si>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</si>
  <si>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</si>
  <si>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</si>
  <si>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</si>
  <si>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</si>
  <si>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</si>
  <si>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</si>
  <si>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</si>
  <si>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</si>
  <si>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</si>
  <si>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</si>
  <si>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</si>
  <si>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</si>
  <si>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</si>
  <si>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</si>
  <si>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</si>
  <si>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</si>
  <si>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</si>
  <si>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</si>
  <si>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</si>
  <si>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</si>
  <si>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</si>
  <si>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</si>
  <si>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</si>
  <si>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</si>
  <si>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</si>
  <si>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</si>
  <si>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</si>
  <si>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</si>
  <si>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</si>
  <si>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</si>
  <si>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</si>
  <si>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</si>
  <si>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</si>
  <si>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</si>
  <si>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</si>
  <si>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</si>
  <si>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</si>
  <si>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</si>
  <si>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</si>
  <si>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</si>
  <si>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</si>
  <si>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</si>
  <si>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</si>
  <si>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</si>
  <si>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</si>
  <si>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</si>
  <si>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</si>
  <si>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</si>
  <si>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</si>
  <si>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</si>
  <si>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</si>
  <si>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</si>
  <si>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</si>
  <si>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</si>
  <si>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</si>
  <si>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</si>
  <si>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</si>
  <si>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</si>
  <si>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RAMO: CONSELHO NACIONAL DO MINISTÉRIO PÚBLICO</t>
  </si>
  <si>
    <t>UNIDADE GESTORA (SIGLA): CNMP</t>
  </si>
  <si>
    <t>19.00.6150.0002989/2025-03</t>
  </si>
  <si>
    <t>CNMP</t>
  </si>
  <si>
    <t>DF</t>
  </si>
  <si>
    <t>26/2026</t>
  </si>
  <si>
    <t>ALMOXARIFE</t>
  </si>
  <si>
    <t>POSTO</t>
  </si>
  <si>
    <t>4141-05</t>
  </si>
  <si>
    <t>EPI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</si>
</sst>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49" fontId="1" fillId="4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12" xfId="0" applyFont="1" applyFill="1" applyBorder="1" applyAlignment="1">
      <alignment horizontal="center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39" fontId="1" fillId="6" borderId="18" xfId="0" applyNumberFormat="1" applyFont="1" applyFill="1" applyBorder="1" applyAlignment="1">
      <alignment horizontal="righ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  <xf numFmtId="14" fontId="2" fillId="3" borderId="5" xfId="0" applyNumberFormat="1" applyFont="1" applyFill="1" applyBorder="1" applyProtection="1">
      <protection locked="0"/>
    </xf>
    <xf numFmtId="0" fontId="1" fillId="6" borderId="2" xfId="0" applyFont="1" applyFill="1" applyBorder="1" applyAlignment="1">
      <alignment horizontal="left" vertical="center" wrapText="1"/>
    </xf>
    <xf numFmtId="0" fontId="3" fillId="0" borderId="4" xfId="0" applyFont="1" applyBorder="1"/>
    <xf numFmtId="0" fontId="1" fillId="6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4" fontId="1" fillId="4" borderId="19" xfId="0" applyNumberFormat="1" applyFont="1" applyFill="1" applyBorder="1" applyAlignment="1">
      <alignment horizontal="left" vertical="center" wrapText="1"/>
    </xf>
    <xf numFmtId="0" fontId="7" fillId="5" borderId="1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wrapText="1"/>
    </xf>
    <xf numFmtId="0" fontId="3" fillId="0" borderId="7" xfId="0" applyFont="1" applyBorder="1"/>
    <xf numFmtId="0" fontId="3" fillId="0" borderId="8" xfId="0" applyFont="1" applyBorder="1"/>
    <xf numFmtId="0" fontId="1" fillId="4" borderId="19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/>
    </xf>
    <xf numFmtId="0" fontId="7" fillId="5" borderId="2" xfId="0" applyFont="1" applyFill="1" applyBorder="1" applyAlignment="1">
      <alignment horizontal="left" vertical="center"/>
    </xf>
    <xf numFmtId="0" fontId="3" fillId="0" borderId="3" xfId="0" applyFont="1" applyBorder="1"/>
    <xf numFmtId="0" fontId="7" fillId="5" borderId="2" xfId="0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center"/>
    </xf>
    <xf numFmtId="0" fontId="11" fillId="2" borderId="6" xfId="0" applyFont="1" applyFill="1" applyBorder="1" applyAlignment="1">
      <alignment horizontal="left" vertical="center" wrapText="1"/>
    </xf>
    <xf numFmtId="39" fontId="1" fillId="6" borderId="2" xfId="0" applyNumberFormat="1" applyFont="1" applyFill="1" applyBorder="1" applyAlignment="1">
      <alignment horizontal="left" vertical="center" wrapText="1"/>
    </xf>
    <xf numFmtId="39" fontId="1" fillId="4" borderId="2" xfId="0" applyNumberFormat="1" applyFont="1" applyFill="1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0" fillId="2" borderId="22" xfId="0" applyFont="1" applyFill="1" applyBorder="1" applyAlignment="1">
      <alignment horizontal="center" vertical="center"/>
    </xf>
    <xf numFmtId="0" fontId="3" fillId="0" borderId="10" xfId="0" applyFont="1" applyBorder="1"/>
    <xf numFmtId="0" fontId="3" fillId="0" borderId="23" xfId="0" applyFont="1" applyBorder="1"/>
    <xf numFmtId="0" fontId="1" fillId="6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0" fontId="2" fillId="6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6" fillId="2" borderId="6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left"/>
    </xf>
    <xf numFmtId="0" fontId="3" fillId="0" borderId="11" xfId="0" applyFont="1" applyBorder="1"/>
    <xf numFmtId="0" fontId="16" fillId="4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4" fontId="1" fillId="4" borderId="2" xfId="0" applyNumberFormat="1" applyFont="1" applyFill="1" applyBorder="1" applyAlignment="1">
      <alignment horizontal="left" vertical="center" wrapText="1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7" fillId="5" borderId="17" xfId="0" applyFont="1" applyFill="1" applyBorder="1" applyAlignment="1">
      <alignment horizontal="left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0" fontId="7" fillId="5" borderId="13" xfId="0" applyFont="1" applyFill="1" applyBorder="1" applyAlignment="1">
      <alignment horizontal="left"/>
    </xf>
    <xf numFmtId="0" fontId="3" fillId="0" borderId="14" xfId="0" applyFont="1" applyBorder="1"/>
    <xf numFmtId="0" fontId="3" fillId="0" borderId="15" xfId="0" applyFont="1" applyBorder="1"/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1" fillId="2" borderId="6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wrapText="1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64" workbookViewId="0">
      <selection activeCell="F50" sqref="F50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5.44140625" style="2" customWidth="1"/>
    <col min="6" max="6" width="16.554687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56" t="s">
        <v>198</v>
      </c>
      <c r="C1" s="145"/>
      <c r="D1" s="145"/>
      <c r="E1" s="145"/>
      <c r="F1" s="146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56" t="s">
        <v>199</v>
      </c>
      <c r="C2" s="145"/>
      <c r="D2" s="146"/>
      <c r="E2" s="77" t="s">
        <v>0</v>
      </c>
      <c r="F2" s="105"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5"/>
      <c r="C3" s="5"/>
      <c r="D3" s="5"/>
      <c r="E3" s="5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6" x14ac:dyDescent="0.55000000000000004">
      <c r="A4" s="5"/>
      <c r="B4" s="138" t="s">
        <v>2</v>
      </c>
      <c r="C4" s="114"/>
      <c r="D4" s="114"/>
      <c r="E4" s="114"/>
      <c r="F4" s="11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39" t="s">
        <v>3</v>
      </c>
      <c r="C5" s="130"/>
      <c r="D5" s="130"/>
      <c r="E5" s="130"/>
      <c r="F5" s="140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32" t="s">
        <v>4</v>
      </c>
      <c r="C6" s="107"/>
      <c r="D6" s="152" t="s">
        <v>200</v>
      </c>
      <c r="E6" s="145"/>
      <c r="F6" s="146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">
      <c r="A7" s="5"/>
      <c r="B7" s="128" t="s">
        <v>5</v>
      </c>
      <c r="C7" s="107"/>
      <c r="D7" s="154" t="s">
        <v>6</v>
      </c>
      <c r="E7" s="146"/>
      <c r="F7" s="87" t="s">
        <v>7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4">
      <c r="A8" s="5"/>
      <c r="B8" s="132" t="s">
        <v>8</v>
      </c>
      <c r="C8" s="107"/>
      <c r="D8" s="155" t="s">
        <v>1</v>
      </c>
      <c r="E8" s="146"/>
      <c r="F8" s="87" t="s">
        <v>9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9.75" customHeight="1" x14ac:dyDescent="0.4">
      <c r="A9" s="5"/>
      <c r="B9" s="5"/>
      <c r="C9" s="78"/>
      <c r="D9" s="79"/>
      <c r="E9" s="79"/>
      <c r="F9" s="8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4">
      <c r="A10" s="5"/>
      <c r="B10" s="139" t="s">
        <v>10</v>
      </c>
      <c r="C10" s="130"/>
      <c r="D10" s="130"/>
      <c r="E10" s="130"/>
      <c r="F10" s="140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 x14ac:dyDescent="0.4">
      <c r="A11" s="5"/>
      <c r="B11" s="7" t="s">
        <v>11</v>
      </c>
      <c r="C11" s="132" t="s">
        <v>12</v>
      </c>
      <c r="D11" s="119"/>
      <c r="E11" s="107"/>
      <c r="F11" s="88" t="s"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35">
      <c r="A12" s="5"/>
      <c r="B12" s="9" t="s">
        <v>13</v>
      </c>
      <c r="C12" s="10" t="s">
        <v>14</v>
      </c>
      <c r="D12" s="153" t="s">
        <v>201</v>
      </c>
      <c r="E12" s="145"/>
      <c r="F12" s="146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4">
      <c r="A13" s="5"/>
      <c r="B13" s="7" t="s">
        <v>15</v>
      </c>
      <c r="C13" s="132" t="s">
        <v>16</v>
      </c>
      <c r="D13" s="119"/>
      <c r="E13" s="107"/>
      <c r="F13" s="89" t="s">
        <v>202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.75" customHeight="1" x14ac:dyDescent="0.4">
      <c r="A14" s="5"/>
      <c r="B14" s="9" t="s">
        <v>17</v>
      </c>
      <c r="C14" s="121" t="s">
        <v>18</v>
      </c>
      <c r="D14" s="119"/>
      <c r="E14" s="107"/>
      <c r="F14" s="87" t="s">
        <v>203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4">
      <c r="A15" s="5"/>
      <c r="B15" s="9" t="s">
        <v>19</v>
      </c>
      <c r="C15" s="132" t="s">
        <v>20</v>
      </c>
      <c r="D15" s="119"/>
      <c r="E15" s="107"/>
      <c r="F15" s="13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4">
      <c r="A16" s="5"/>
      <c r="B16" s="5"/>
      <c r="C16" s="78"/>
      <c r="D16" s="79"/>
      <c r="E16" s="79"/>
      <c r="F16" s="8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6.5" customHeight="1" x14ac:dyDescent="0.4">
      <c r="A17" s="5"/>
      <c r="B17" s="139" t="s">
        <v>21</v>
      </c>
      <c r="C17" s="130"/>
      <c r="D17" s="130"/>
      <c r="E17" s="130"/>
      <c r="F17" s="140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6.5" customHeight="1" x14ac:dyDescent="0.35">
      <c r="A18" s="81"/>
      <c r="B18" s="82" t="s">
        <v>22</v>
      </c>
      <c r="C18" s="82" t="s">
        <v>23</v>
      </c>
      <c r="D18" s="83" t="s">
        <v>24</v>
      </c>
      <c r="E18" s="83" t="s">
        <v>25</v>
      </c>
      <c r="F18" s="83" t="s">
        <v>26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ht="16.5" customHeight="1" x14ac:dyDescent="0.4">
      <c r="A19" s="5"/>
      <c r="B19" s="7">
        <v>1</v>
      </c>
      <c r="C19" s="90" t="s">
        <v>204</v>
      </c>
      <c r="D19" s="91" t="s">
        <v>205</v>
      </c>
      <c r="E19" s="92">
        <v>1</v>
      </c>
      <c r="F19" s="91">
        <v>1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4">
      <c r="A20" s="5"/>
      <c r="B20" s="149" t="s">
        <v>27</v>
      </c>
      <c r="C20" s="150"/>
      <c r="D20" s="150"/>
      <c r="E20" s="151"/>
      <c r="F20" s="93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" customHeight="1" x14ac:dyDescent="0.4">
      <c r="A21" s="5"/>
      <c r="B21" s="41"/>
      <c r="C21" s="41"/>
      <c r="D21" s="41"/>
      <c r="E21" s="41"/>
      <c r="F21" s="4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" customHeight="1" x14ac:dyDescent="0.4">
      <c r="A22" s="5"/>
      <c r="B22" s="139" t="s">
        <v>28</v>
      </c>
      <c r="C22" s="130"/>
      <c r="D22" s="130"/>
      <c r="E22" s="130"/>
      <c r="F22" s="140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5"/>
      <c r="B23" s="7">
        <v>1</v>
      </c>
      <c r="C23" s="18" t="s">
        <v>29</v>
      </c>
      <c r="D23" s="152" t="s">
        <v>206</v>
      </c>
      <c r="E23" s="145"/>
      <c r="F23" s="146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5"/>
      <c r="B24" s="7">
        <v>2</v>
      </c>
      <c r="C24" s="17" t="s">
        <v>30</v>
      </c>
      <c r="D24" s="152"/>
      <c r="E24" s="145"/>
      <c r="F24" s="146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5"/>
      <c r="B25" s="7">
        <v>3</v>
      </c>
      <c r="C25" s="132" t="s">
        <v>31</v>
      </c>
      <c r="D25" s="119"/>
      <c r="E25" s="107"/>
      <c r="F25" s="88">
        <v>46023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5" customHeight="1" x14ac:dyDescent="0.4">
      <c r="A26" s="5"/>
      <c r="B26" s="7">
        <v>4</v>
      </c>
      <c r="C26" s="128" t="s">
        <v>32</v>
      </c>
      <c r="D26" s="119"/>
      <c r="E26" s="107"/>
      <c r="F26" s="94">
        <v>1621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5" customHeight="1" x14ac:dyDescent="0.4">
      <c r="A27" s="5"/>
      <c r="B27" s="84"/>
      <c r="C27" s="85"/>
      <c r="D27" s="85"/>
      <c r="E27" s="85"/>
      <c r="F27" s="8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55000000000000004">
      <c r="A28" s="1"/>
      <c r="B28" s="63" t="s">
        <v>33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34</v>
      </c>
      <c r="C29" s="1"/>
      <c r="D29" s="1"/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9">
        <v>1</v>
      </c>
      <c r="C30" s="120" t="s">
        <v>35</v>
      </c>
      <c r="D30" s="119"/>
      <c r="E30" s="107"/>
      <c r="F30" s="24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11</v>
      </c>
      <c r="C31" s="124" t="s">
        <v>37</v>
      </c>
      <c r="D31" s="119"/>
      <c r="E31" s="107"/>
      <c r="F31" s="95">
        <v>2749.17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13</v>
      </c>
      <c r="C32" s="121" t="s">
        <v>38</v>
      </c>
      <c r="D32" s="119"/>
      <c r="E32" s="107"/>
      <c r="F32" s="9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15</v>
      </c>
      <c r="C33" s="124" t="s">
        <v>39</v>
      </c>
      <c r="D33" s="119"/>
      <c r="E33" s="107"/>
      <c r="F33" s="9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17</v>
      </c>
      <c r="C34" s="125" t="s">
        <v>40</v>
      </c>
      <c r="D34" s="119"/>
      <c r="E34" s="107"/>
      <c r="F34" s="9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9" t="s">
        <v>19</v>
      </c>
      <c r="C35" s="148" t="s">
        <v>41</v>
      </c>
      <c r="D35" s="145"/>
      <c r="E35" s="146"/>
      <c r="F35" s="9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1"/>
      <c r="B36" s="9" t="s">
        <v>42</v>
      </c>
      <c r="C36" s="148" t="s">
        <v>43</v>
      </c>
      <c r="D36" s="145"/>
      <c r="E36" s="146"/>
      <c r="F36" s="9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9" t="s">
        <v>44</v>
      </c>
      <c r="C37" s="148" t="s">
        <v>45</v>
      </c>
      <c r="D37" s="145"/>
      <c r="E37" s="146"/>
      <c r="F37" s="9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9.75" customHeight="1" x14ac:dyDescent="0.4">
      <c r="A38" s="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36"/>
      <c r="B39" s="22" t="s">
        <v>46</v>
      </c>
      <c r="C39" s="1"/>
      <c r="D39" s="1"/>
      <c r="E39" s="28"/>
      <c r="F39" s="28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6.75" customHeight="1" x14ac:dyDescent="0.4">
      <c r="A40" s="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" customHeight="1" x14ac:dyDescent="0.4">
      <c r="A41" s="1"/>
      <c r="B41" s="22" t="s">
        <v>47</v>
      </c>
      <c r="C41" s="5"/>
      <c r="D41" s="5"/>
      <c r="E41" s="5"/>
      <c r="F41" s="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6.5" customHeight="1" x14ac:dyDescent="0.4">
      <c r="A42" s="1"/>
      <c r="B42" s="9" t="s">
        <v>48</v>
      </c>
      <c r="C42" s="120" t="s">
        <v>49</v>
      </c>
      <c r="D42" s="119"/>
      <c r="E42" s="107"/>
      <c r="F42" s="24" t="s">
        <v>50</v>
      </c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6.5" customHeight="1" x14ac:dyDescent="0.4">
      <c r="A43" s="36"/>
      <c r="B43" s="66" t="s">
        <v>15</v>
      </c>
      <c r="C43" s="132" t="s">
        <v>51</v>
      </c>
      <c r="D43" s="119"/>
      <c r="E43" s="107"/>
      <c r="F43" s="97">
        <v>2</v>
      </c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6.5" customHeight="1" x14ac:dyDescent="0.4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" customHeight="1" x14ac:dyDescent="0.4">
      <c r="A45" s="1"/>
      <c r="B45" s="22" t="s">
        <v>52</v>
      </c>
      <c r="C45" s="5"/>
      <c r="D45" s="5"/>
      <c r="E45" s="5"/>
      <c r="F45" s="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6.5" customHeight="1" x14ac:dyDescent="0.4">
      <c r="A46" s="1"/>
      <c r="B46" s="9" t="s">
        <v>53</v>
      </c>
      <c r="C46" s="120" t="s">
        <v>54</v>
      </c>
      <c r="D46" s="107"/>
      <c r="E46" s="24" t="s">
        <v>55</v>
      </c>
      <c r="F46" s="24" t="s">
        <v>36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6.5" customHeight="1" x14ac:dyDescent="0.4">
      <c r="A47" s="36"/>
      <c r="B47" s="66" t="s">
        <v>11</v>
      </c>
      <c r="C47" s="132" t="s">
        <v>56</v>
      </c>
      <c r="D47" s="107"/>
      <c r="E47" s="13" t="s">
        <v>57</v>
      </c>
      <c r="F47" s="98">
        <v>11</v>
      </c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6.5" customHeight="1" x14ac:dyDescent="0.4">
      <c r="A48" s="36"/>
      <c r="B48" s="66" t="s">
        <v>13</v>
      </c>
      <c r="C48" s="128" t="s">
        <v>58</v>
      </c>
      <c r="D48" s="107"/>
      <c r="E48" s="12" t="s">
        <v>57</v>
      </c>
      <c r="F48" s="98">
        <v>46.38</v>
      </c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6.5" customHeight="1" x14ac:dyDescent="0.4">
      <c r="A49" s="1"/>
      <c r="B49" s="147" t="s">
        <v>59</v>
      </c>
      <c r="C49" s="119"/>
      <c r="D49" s="107"/>
      <c r="E49" s="100"/>
      <c r="F49" s="9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66" t="s">
        <v>15</v>
      </c>
      <c r="C50" s="148" t="s">
        <v>60</v>
      </c>
      <c r="D50" s="146"/>
      <c r="E50" s="101"/>
      <c r="F50" s="9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66" t="s">
        <v>17</v>
      </c>
      <c r="C51" s="148" t="s">
        <v>61</v>
      </c>
      <c r="D51" s="146"/>
      <c r="E51" s="101"/>
      <c r="F51" s="9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36"/>
      <c r="B52" s="66" t="s">
        <v>19</v>
      </c>
      <c r="C52" s="148" t="s">
        <v>62</v>
      </c>
      <c r="D52" s="146"/>
      <c r="E52" s="101"/>
      <c r="F52" s="9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1"/>
      <c r="B53" s="36"/>
      <c r="C53" s="36"/>
      <c r="D53" s="36"/>
      <c r="E53" s="36"/>
      <c r="F53" s="3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22" t="s">
        <v>63</v>
      </c>
      <c r="C54" s="29"/>
      <c r="D54" s="30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4">
      <c r="A55" s="1"/>
      <c r="B55" s="9" t="s">
        <v>64</v>
      </c>
      <c r="C55" s="118" t="s">
        <v>65</v>
      </c>
      <c r="D55" s="119"/>
      <c r="E55" s="107"/>
      <c r="F55" s="24" t="s">
        <v>66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4">
      <c r="A56" s="1"/>
      <c r="B56" s="9" t="s">
        <v>11</v>
      </c>
      <c r="C56" s="124" t="s">
        <v>67</v>
      </c>
      <c r="D56" s="119"/>
      <c r="E56" s="107"/>
      <c r="F56" s="9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36"/>
      <c r="B57" s="9" t="s">
        <v>13</v>
      </c>
      <c r="C57" s="121" t="s">
        <v>68</v>
      </c>
      <c r="D57" s="119"/>
      <c r="E57" s="107"/>
      <c r="F57" s="9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4">
      <c r="A58" s="5"/>
      <c r="B58" s="36"/>
      <c r="C58" s="36"/>
      <c r="D58" s="36"/>
      <c r="E58" s="36"/>
      <c r="F58" s="36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" customHeight="1" x14ac:dyDescent="0.4">
      <c r="A59" s="5"/>
      <c r="B59" s="22" t="s">
        <v>69</v>
      </c>
      <c r="C59" s="29"/>
      <c r="D59" s="30"/>
      <c r="E59" s="1"/>
      <c r="F59" s="1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5"/>
      <c r="B60" s="22" t="s">
        <v>70</v>
      </c>
      <c r="C60" s="29"/>
      <c r="D60" s="30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36"/>
      <c r="B61" s="9" t="s">
        <v>71</v>
      </c>
      <c r="C61" s="120" t="s">
        <v>72</v>
      </c>
      <c r="D61" s="119"/>
      <c r="E61" s="107"/>
      <c r="F61" s="24" t="s">
        <v>73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1"/>
      <c r="B62" s="24" t="s">
        <v>11</v>
      </c>
      <c r="C62" s="144" t="s">
        <v>74</v>
      </c>
      <c r="D62" s="145"/>
      <c r="E62" s="146"/>
      <c r="F62" s="10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36"/>
      <c r="C63" s="36"/>
      <c r="D63" s="36"/>
      <c r="E63" s="36"/>
      <c r="F63" s="3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22" t="s">
        <v>75</v>
      </c>
      <c r="C64" s="29"/>
      <c r="D64" s="30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36"/>
      <c r="B65" s="9" t="s">
        <v>76</v>
      </c>
      <c r="C65" s="118" t="s">
        <v>77</v>
      </c>
      <c r="D65" s="119"/>
      <c r="E65" s="107"/>
      <c r="F65" s="24" t="s">
        <v>66</v>
      </c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6.5" customHeight="1" x14ac:dyDescent="0.4">
      <c r="A66" s="1"/>
      <c r="B66" s="9" t="s">
        <v>11</v>
      </c>
      <c r="C66" s="121" t="s">
        <v>68</v>
      </c>
      <c r="D66" s="119"/>
      <c r="E66" s="107"/>
      <c r="F66" s="9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4">
      <c r="A67" s="1"/>
      <c r="B67" s="36"/>
      <c r="C67" s="36"/>
      <c r="D67" s="36"/>
      <c r="E67" s="36"/>
      <c r="F67" s="3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22" t="s">
        <v>78</v>
      </c>
      <c r="C68" s="29"/>
      <c r="D68" s="29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43">
        <v>5</v>
      </c>
      <c r="C69" s="112" t="s">
        <v>79</v>
      </c>
      <c r="D69" s="109"/>
      <c r="E69" s="110"/>
      <c r="F69" s="44" t="s">
        <v>80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45" t="s">
        <v>11</v>
      </c>
      <c r="C70" s="108" t="s">
        <v>81</v>
      </c>
      <c r="D70" s="109"/>
      <c r="E70" s="110"/>
      <c r="F70" s="103">
        <v>129.87</v>
      </c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6.5" customHeight="1" x14ac:dyDescent="0.4">
      <c r="A71" s="1"/>
      <c r="B71" s="45" t="s">
        <v>13</v>
      </c>
      <c r="C71" s="116" t="s">
        <v>82</v>
      </c>
      <c r="D71" s="109"/>
      <c r="E71" s="110"/>
      <c r="F71" s="103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6.5" customHeight="1" x14ac:dyDescent="0.4">
      <c r="A72" s="36"/>
      <c r="B72" s="45" t="s">
        <v>15</v>
      </c>
      <c r="C72" s="108" t="s">
        <v>83</v>
      </c>
      <c r="D72" s="109"/>
      <c r="E72" s="110"/>
      <c r="F72" s="103">
        <v>0.52</v>
      </c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6.5" customHeight="1" x14ac:dyDescent="0.4">
      <c r="A73" s="1"/>
      <c r="B73" s="45" t="s">
        <v>17</v>
      </c>
      <c r="C73" s="148" t="s">
        <v>207</v>
      </c>
      <c r="D73" s="145"/>
      <c r="E73" s="146"/>
      <c r="F73" s="95">
        <v>17.260000000000002</v>
      </c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6.5" customHeight="1" x14ac:dyDescent="0.4">
      <c r="A74" s="1"/>
      <c r="B74" s="36"/>
      <c r="C74" s="36"/>
      <c r="D74" s="36"/>
      <c r="E74" s="36"/>
      <c r="F74" s="36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6.5" customHeight="1" x14ac:dyDescent="0.4">
      <c r="A75" s="56"/>
      <c r="B75" s="113" t="s">
        <v>84</v>
      </c>
      <c r="C75" s="114"/>
      <c r="D75" s="114"/>
      <c r="E75" s="114"/>
      <c r="F75" s="115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6.5" customHeight="1" x14ac:dyDescent="0.4">
      <c r="A76" s="56"/>
      <c r="B76" s="9">
        <v>6</v>
      </c>
      <c r="C76" s="118" t="s">
        <v>85</v>
      </c>
      <c r="D76" s="119"/>
      <c r="E76" s="107"/>
      <c r="F76" s="24" t="s">
        <v>73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6.5" customHeight="1" x14ac:dyDescent="0.4">
      <c r="A77" s="61"/>
      <c r="B77" s="9" t="s">
        <v>11</v>
      </c>
      <c r="C77" s="106" t="s">
        <v>86</v>
      </c>
      <c r="D77" s="119"/>
      <c r="E77" s="107"/>
      <c r="F77" s="104">
        <v>4.7300000000000004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6.5" customHeight="1" x14ac:dyDescent="0.4">
      <c r="A78" s="1"/>
      <c r="B78" s="24" t="s">
        <v>13</v>
      </c>
      <c r="C78" s="121" t="s">
        <v>87</v>
      </c>
      <c r="D78" s="119"/>
      <c r="E78" s="107"/>
      <c r="F78" s="104">
        <v>5.57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51" t="s">
        <v>88</v>
      </c>
      <c r="C79" s="106" t="s">
        <v>89</v>
      </c>
      <c r="D79" s="119"/>
      <c r="E79" s="107"/>
      <c r="F79" s="104">
        <v>0.65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36"/>
      <c r="B80" s="51" t="s">
        <v>90</v>
      </c>
      <c r="C80" s="121" t="s">
        <v>91</v>
      </c>
      <c r="D80" s="119"/>
      <c r="E80" s="107"/>
      <c r="F80" s="104">
        <v>3</v>
      </c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6.5" customHeight="1" x14ac:dyDescent="0.4">
      <c r="A81" s="1"/>
      <c r="B81" s="51" t="s">
        <v>92</v>
      </c>
      <c r="C81" s="106" t="s">
        <v>93</v>
      </c>
      <c r="D81" s="119"/>
      <c r="E81" s="107"/>
      <c r="F81" s="104">
        <v>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4">
      <c r="A82" s="1"/>
      <c r="B82" s="36"/>
      <c r="C82" s="36"/>
      <c r="D82" s="36"/>
      <c r="E82" s="36"/>
      <c r="F82" s="3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4">
      <c r="A83" s="1"/>
      <c r="B83" s="65" t="s">
        <v>94</v>
      </c>
      <c r="C83" s="67"/>
      <c r="D83" s="67"/>
      <c r="E83" s="67"/>
      <c r="F83" s="68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4">
      <c r="A84" s="1"/>
      <c r="B84" s="157" t="s">
        <v>95</v>
      </c>
      <c r="C84" s="114"/>
      <c r="D84" s="114"/>
      <c r="E84" s="114"/>
      <c r="F84" s="115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60"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  <mergeCell ref="B1:F1"/>
    <mergeCell ref="B2:D2"/>
    <mergeCell ref="B4:F4"/>
    <mergeCell ref="B5:F5"/>
    <mergeCell ref="B6:C6"/>
    <mergeCell ref="D6:F6"/>
    <mergeCell ref="D7:E7"/>
    <mergeCell ref="B7:C7"/>
    <mergeCell ref="B8:C8"/>
    <mergeCell ref="D8:E8"/>
    <mergeCell ref="B10:F10"/>
    <mergeCell ref="C11:E11"/>
    <mergeCell ref="D12:F12"/>
    <mergeCell ref="C13:E13"/>
    <mergeCell ref="C14:E14"/>
    <mergeCell ref="C15:E15"/>
    <mergeCell ref="B17:F17"/>
    <mergeCell ref="B20:E20"/>
    <mergeCell ref="B22:F22"/>
    <mergeCell ref="D23:F23"/>
    <mergeCell ref="D24:F24"/>
    <mergeCell ref="C25:E25"/>
    <mergeCell ref="C26:E26"/>
    <mergeCell ref="C30:E30"/>
    <mergeCell ref="C31:E31"/>
    <mergeCell ref="C32:E32"/>
    <mergeCell ref="C33:E33"/>
    <mergeCell ref="C34:E34"/>
    <mergeCell ref="C35:E35"/>
    <mergeCell ref="C36:E36"/>
    <mergeCell ref="C37:E37"/>
    <mergeCell ref="C42:E42"/>
    <mergeCell ref="C43:E43"/>
    <mergeCell ref="C46:D46"/>
    <mergeCell ref="C47:D47"/>
    <mergeCell ref="C48:D48"/>
    <mergeCell ref="B49:D49"/>
    <mergeCell ref="C50:D50"/>
    <mergeCell ref="C51:D51"/>
    <mergeCell ref="C52:D52"/>
    <mergeCell ref="C55:E55"/>
    <mergeCell ref="C66:E66"/>
    <mergeCell ref="C69:E69"/>
    <mergeCell ref="C70:E70"/>
    <mergeCell ref="C56:E56"/>
    <mergeCell ref="C57:E57"/>
    <mergeCell ref="C61:E61"/>
    <mergeCell ref="C62:E62"/>
    <mergeCell ref="C65:E65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3.5546875" style="2" customWidth="1"/>
    <col min="6" max="6" width="15.44140625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96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5" customHeight="1" x14ac:dyDescent="0.4">
      <c r="A2" s="1"/>
      <c r="B2" s="22" t="s">
        <v>34</v>
      </c>
      <c r="C2" s="1"/>
      <c r="D2" s="1"/>
      <c r="E2" s="23"/>
      <c r="F2" s="2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9">
        <v>1</v>
      </c>
      <c r="C3" s="120" t="s">
        <v>35</v>
      </c>
      <c r="D3" s="119"/>
      <c r="E3" s="107"/>
      <c r="F3" s="24" t="s">
        <v>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4">
      <c r="A4" s="1"/>
      <c r="B4" s="9" t="s">
        <v>19</v>
      </c>
      <c r="C4" s="106" t="s">
        <v>98</v>
      </c>
      <c r="D4" s="119"/>
      <c r="E4" s="107"/>
      <c r="F4" s="69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4">
      <c r="A5" s="1"/>
      <c r="B5" s="9" t="s">
        <v>42</v>
      </c>
      <c r="C5" s="125" t="s">
        <v>99</v>
      </c>
      <c r="D5" s="119"/>
      <c r="E5" s="107"/>
      <c r="F5" s="70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4">
      <c r="A6" s="1"/>
      <c r="B6" s="9" t="s">
        <v>44</v>
      </c>
      <c r="C6" s="106" t="s">
        <v>100</v>
      </c>
      <c r="D6" s="119"/>
      <c r="E6" s="107"/>
      <c r="F6" s="69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4">
      <c r="A7" s="1"/>
      <c r="B7" s="9" t="s">
        <v>101</v>
      </c>
      <c r="C7" s="125" t="s">
        <v>102</v>
      </c>
      <c r="D7" s="119"/>
      <c r="E7" s="107"/>
      <c r="F7" s="71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4">
      <c r="A8" s="1"/>
      <c r="B8" s="9" t="s">
        <v>103</v>
      </c>
      <c r="C8" s="106" t="s">
        <v>104</v>
      </c>
      <c r="D8" s="119"/>
      <c r="E8" s="107"/>
      <c r="F8" s="69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4">
      <c r="A9" s="1"/>
      <c r="B9" s="9" t="s">
        <v>105</v>
      </c>
      <c r="C9" s="125" t="s">
        <v>106</v>
      </c>
      <c r="D9" s="119"/>
      <c r="E9" s="107"/>
      <c r="F9" s="70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4">
      <c r="A10" s="1"/>
      <c r="B10" s="9" t="s">
        <v>107</v>
      </c>
      <c r="C10" s="106" t="s">
        <v>108</v>
      </c>
      <c r="D10" s="119"/>
      <c r="E10" s="107"/>
      <c r="F10" s="72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6.5" customHeight="1" x14ac:dyDescent="0.4">
      <c r="A12" s="1"/>
      <c r="B12" s="22" t="s">
        <v>52</v>
      </c>
      <c r="C12" s="5"/>
      <c r="D12" s="5"/>
      <c r="E12" s="5"/>
      <c r="F12" s="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" customHeight="1" x14ac:dyDescent="0.4">
      <c r="A13" s="1"/>
      <c r="B13" s="9" t="s">
        <v>53</v>
      </c>
      <c r="C13" s="120" t="s">
        <v>54</v>
      </c>
      <c r="D13" s="107"/>
      <c r="E13" s="24" t="s">
        <v>109</v>
      </c>
      <c r="F13" s="24" t="s">
        <v>73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6.5" customHeight="1" x14ac:dyDescent="0.4">
      <c r="A14" s="36"/>
      <c r="B14" s="66" t="s">
        <v>11</v>
      </c>
      <c r="C14" s="132" t="s">
        <v>110</v>
      </c>
      <c r="D14" s="107"/>
      <c r="E14" s="13" t="s">
        <v>111</v>
      </c>
      <c r="F14" s="73">
        <v>6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6.5" customHeight="1" x14ac:dyDescent="0.4">
      <c r="A15" s="36"/>
      <c r="B15" s="66" t="s">
        <v>13</v>
      </c>
      <c r="C15" s="128" t="s">
        <v>112</v>
      </c>
      <c r="D15" s="107"/>
      <c r="E15" s="12" t="s">
        <v>111</v>
      </c>
      <c r="F15" s="74">
        <v>15</v>
      </c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16.5" customHeight="1" x14ac:dyDescent="0.4">
      <c r="A16" s="36"/>
      <c r="B16" s="66" t="s">
        <v>15</v>
      </c>
      <c r="C16" s="132" t="s">
        <v>113</v>
      </c>
      <c r="D16" s="107"/>
      <c r="E16" s="13" t="s">
        <v>111</v>
      </c>
      <c r="F16" s="73">
        <v>21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6.5" customHeight="1" x14ac:dyDescent="0.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6.5" customHeight="1" x14ac:dyDescent="0.4">
      <c r="A18" s="36"/>
      <c r="B18" s="22" t="s">
        <v>114</v>
      </c>
      <c r="C18" s="29"/>
      <c r="D18" s="30"/>
      <c r="E18" s="31"/>
      <c r="F18" s="3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6.5" customHeight="1" x14ac:dyDescent="0.4">
      <c r="A19" s="36"/>
      <c r="B19" s="9">
        <v>3</v>
      </c>
      <c r="C19" s="118" t="s">
        <v>115</v>
      </c>
      <c r="D19" s="119"/>
      <c r="E19" s="107"/>
      <c r="F19" s="24" t="s">
        <v>116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6.5" customHeight="1" x14ac:dyDescent="0.4">
      <c r="A20" s="36"/>
      <c r="B20" s="9" t="s">
        <v>11</v>
      </c>
      <c r="C20" s="106" t="s">
        <v>117</v>
      </c>
      <c r="D20" s="119"/>
      <c r="E20" s="107"/>
      <c r="F20" s="75">
        <v>62.93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6.5" customHeight="1" x14ac:dyDescent="0.4">
      <c r="A21" s="36"/>
      <c r="B21" s="24" t="s">
        <v>13</v>
      </c>
      <c r="C21" s="117" t="s">
        <v>118</v>
      </c>
      <c r="D21" s="119"/>
      <c r="E21" s="107"/>
      <c r="F21" s="76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24" t="s">
        <v>15</v>
      </c>
      <c r="C22" s="106" t="s">
        <v>119</v>
      </c>
      <c r="D22" s="119"/>
      <c r="E22" s="107"/>
      <c r="F22" s="73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5" customHeight="1" x14ac:dyDescent="0.4">
      <c r="A23" s="36"/>
      <c r="B23" s="24" t="s">
        <v>17</v>
      </c>
      <c r="C23" s="117" t="s">
        <v>120</v>
      </c>
      <c r="D23" s="119"/>
      <c r="E23" s="107"/>
      <c r="F23" s="76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4">
      <c r="A24" s="36"/>
      <c r="B24" s="24" t="s">
        <v>19</v>
      </c>
      <c r="C24" s="106" t="s">
        <v>121</v>
      </c>
      <c r="D24" s="119"/>
      <c r="E24" s="107"/>
      <c r="F24" s="73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6.5" customHeight="1" x14ac:dyDescent="0.4">
      <c r="A26" s="5"/>
      <c r="B26" s="22" t="s">
        <v>69</v>
      </c>
      <c r="C26" s="29"/>
      <c r="D26" s="30"/>
      <c r="E26" s="1"/>
      <c r="F26" s="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" customHeight="1" x14ac:dyDescent="0.4">
      <c r="A27" s="5"/>
      <c r="B27" s="22" t="s">
        <v>70</v>
      </c>
      <c r="C27" s="29"/>
      <c r="D27" s="30"/>
      <c r="E27" s="31"/>
      <c r="F27" s="3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35">
      <c r="A28" s="5"/>
      <c r="B28" s="9" t="s">
        <v>71</v>
      </c>
      <c r="C28" s="120" t="s">
        <v>72</v>
      </c>
      <c r="D28" s="119"/>
      <c r="E28" s="107"/>
      <c r="F28" s="24" t="s">
        <v>116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5" customHeight="1" x14ac:dyDescent="0.35">
      <c r="A29" s="5"/>
      <c r="B29" s="9" t="s">
        <v>11</v>
      </c>
      <c r="C29" s="106" t="s">
        <v>122</v>
      </c>
      <c r="D29" s="119"/>
      <c r="E29" s="107"/>
      <c r="F29" s="73">
        <v>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5" customHeight="1" x14ac:dyDescent="0.4">
      <c r="A30" s="5"/>
      <c r="B30" s="24" t="s">
        <v>13</v>
      </c>
      <c r="C30" s="121" t="s">
        <v>123</v>
      </c>
      <c r="D30" s="119"/>
      <c r="E30" s="107"/>
      <c r="F30" s="74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5"/>
      <c r="B31" s="24" t="s">
        <v>15</v>
      </c>
      <c r="C31" s="106" t="s">
        <v>124</v>
      </c>
      <c r="D31" s="119"/>
      <c r="E31" s="107"/>
      <c r="F31" s="75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5"/>
      <c r="B32" s="24" t="s">
        <v>17</v>
      </c>
      <c r="C32" s="121" t="s">
        <v>125</v>
      </c>
      <c r="D32" s="119"/>
      <c r="E32" s="107"/>
      <c r="F32" s="76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4">
      <c r="A33" s="1"/>
      <c r="B33" s="24" t="s">
        <v>19</v>
      </c>
      <c r="C33" s="106" t="s">
        <v>126</v>
      </c>
      <c r="D33" s="119"/>
      <c r="E33" s="107"/>
      <c r="F33" s="75">
        <f>(154800/34808000)*100</f>
        <v>0.44472535049413925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4">
      <c r="A34" s="5"/>
      <c r="B34" s="24" t="s">
        <v>42</v>
      </c>
      <c r="C34" s="121" t="s">
        <v>127</v>
      </c>
      <c r="D34" s="119"/>
      <c r="E34" s="107"/>
      <c r="F34" s="74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4">
      <c r="A35" s="5"/>
      <c r="B35" s="24" t="s">
        <v>44</v>
      </c>
      <c r="C35" s="106" t="s">
        <v>128</v>
      </c>
      <c r="D35" s="119"/>
      <c r="E35" s="107"/>
      <c r="F35" s="73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5"/>
      <c r="B36" s="24" t="s">
        <v>129</v>
      </c>
      <c r="C36" s="121" t="s">
        <v>130</v>
      </c>
      <c r="D36" s="119"/>
      <c r="E36" s="107"/>
      <c r="F36" s="76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6.5" customHeight="1" x14ac:dyDescent="0.4">
      <c r="A38" s="1"/>
      <c r="B38" s="65" t="s">
        <v>94</v>
      </c>
      <c r="C38" s="67"/>
      <c r="D38" s="67"/>
      <c r="E38" s="67"/>
      <c r="F38" s="6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4">
      <c r="A39" s="1"/>
      <c r="B39" s="157" t="s">
        <v>95</v>
      </c>
      <c r="C39" s="114"/>
      <c r="D39" s="114"/>
      <c r="E39" s="114"/>
      <c r="F39" s="115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C3:E3"/>
    <mergeCell ref="C4:E4"/>
    <mergeCell ref="C5:E5"/>
    <mergeCell ref="C6:E6"/>
    <mergeCell ref="C7:E7"/>
    <mergeCell ref="C8:E8"/>
    <mergeCell ref="C9:E9"/>
    <mergeCell ref="C10:E10"/>
    <mergeCell ref="C13:D13"/>
    <mergeCell ref="C14:D14"/>
    <mergeCell ref="C15:D15"/>
    <mergeCell ref="C16:D16"/>
    <mergeCell ref="C19:E19"/>
    <mergeCell ref="C20:E20"/>
    <mergeCell ref="C31:E31"/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546875" defaultRowHeight="15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22" style="2" customWidth="1"/>
    <col min="5" max="5" width="7" style="2" customWidth="1"/>
    <col min="6" max="6" width="46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131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8" x14ac:dyDescent="0.4">
      <c r="A2" s="1"/>
      <c r="B2" s="22" t="s">
        <v>46</v>
      </c>
      <c r="C2" s="1"/>
      <c r="D2" s="1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8" x14ac:dyDescent="0.4">
      <c r="A3" s="1"/>
      <c r="B3" s="22" t="s">
        <v>132</v>
      </c>
      <c r="C3" s="29"/>
      <c r="D3" s="30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8" x14ac:dyDescent="0.4">
      <c r="A4" s="1"/>
      <c r="B4" s="9" t="s">
        <v>133</v>
      </c>
      <c r="C4" s="118" t="s">
        <v>134</v>
      </c>
      <c r="D4" s="107"/>
      <c r="E4" s="24" t="s">
        <v>73</v>
      </c>
      <c r="F4" s="24" t="s">
        <v>135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8" x14ac:dyDescent="0.4">
      <c r="A5" s="1"/>
      <c r="B5" s="9" t="s">
        <v>11</v>
      </c>
      <c r="C5" s="106" t="s">
        <v>136</v>
      </c>
      <c r="D5" s="107"/>
      <c r="E5" s="32">
        <f>(1/MESES_NO_ANO)*100</f>
        <v>8.3333333333333321</v>
      </c>
      <c r="F5" s="32" t="s">
        <v>137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x14ac:dyDescent="0.4">
      <c r="A6" s="1"/>
      <c r="B6" s="24" t="s">
        <v>13</v>
      </c>
      <c r="C6" s="121" t="s">
        <v>138</v>
      </c>
      <c r="D6" s="107"/>
      <c r="E6" s="34">
        <f>(1/3)/MESES_NO_ANO*100</f>
        <v>2.7777777777777777</v>
      </c>
      <c r="F6" s="34" t="s">
        <v>139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8" x14ac:dyDescent="0.4">
      <c r="A7" s="36"/>
      <c r="B7" s="158" t="s">
        <v>140</v>
      </c>
      <c r="C7" s="150"/>
      <c r="D7" s="150"/>
      <c r="E7" s="150"/>
      <c r="F7" s="151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6.8" x14ac:dyDescent="0.4">
      <c r="A8" s="36"/>
      <c r="B8" s="9" t="s">
        <v>48</v>
      </c>
      <c r="C8" s="120" t="s">
        <v>141</v>
      </c>
      <c r="D8" s="107"/>
      <c r="E8" s="24" t="s">
        <v>73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6.8" x14ac:dyDescent="0.4">
      <c r="A9" s="1"/>
      <c r="B9" s="9" t="s">
        <v>11</v>
      </c>
      <c r="C9" s="106" t="s">
        <v>142</v>
      </c>
      <c r="D9" s="107"/>
      <c r="E9" s="32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8" x14ac:dyDescent="0.35">
      <c r="A10" s="5"/>
      <c r="B10" s="24" t="s">
        <v>13</v>
      </c>
      <c r="C10" s="121" t="s">
        <v>143</v>
      </c>
      <c r="D10" s="107"/>
      <c r="E10" s="38">
        <v>2.5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6.8" x14ac:dyDescent="0.35">
      <c r="A11" s="5"/>
      <c r="B11" s="24" t="s">
        <v>15</v>
      </c>
      <c r="C11" s="106" t="s">
        <v>144</v>
      </c>
      <c r="D11" s="107"/>
      <c r="E11" s="32">
        <f>IF(FAP&lt;&gt;"",3*FAP,3)</f>
        <v>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8" x14ac:dyDescent="0.35">
      <c r="A12" s="5"/>
      <c r="B12" s="24" t="s">
        <v>17</v>
      </c>
      <c r="C12" s="121" t="s">
        <v>145</v>
      </c>
      <c r="D12" s="107"/>
      <c r="E12" s="34">
        <v>1.5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8" x14ac:dyDescent="0.35">
      <c r="A13" s="5"/>
      <c r="B13" s="24" t="s">
        <v>19</v>
      </c>
      <c r="C13" s="106" t="s">
        <v>146</v>
      </c>
      <c r="D13" s="107"/>
      <c r="E13" s="32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6.8" x14ac:dyDescent="0.35">
      <c r="A14" s="5"/>
      <c r="B14" s="24" t="s">
        <v>42</v>
      </c>
      <c r="C14" s="121" t="s">
        <v>147</v>
      </c>
      <c r="D14" s="107"/>
      <c r="E14" s="38">
        <v>0.6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8" x14ac:dyDescent="0.35">
      <c r="A15" s="5"/>
      <c r="B15" s="24" t="s">
        <v>44</v>
      </c>
      <c r="C15" s="106" t="s">
        <v>148</v>
      </c>
      <c r="D15" s="107"/>
      <c r="E15" s="32">
        <v>0.2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6.8" x14ac:dyDescent="0.4">
      <c r="A16" s="1"/>
      <c r="B16" s="24" t="s">
        <v>129</v>
      </c>
      <c r="C16" s="121" t="s">
        <v>149</v>
      </c>
      <c r="D16" s="107"/>
      <c r="E16" s="38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x14ac:dyDescent="0.4">
      <c r="A17" s="1"/>
      <c r="B17" s="118" t="s">
        <v>150</v>
      </c>
      <c r="C17" s="119"/>
      <c r="D17" s="107"/>
      <c r="E17" s="64">
        <f>SUM(E9:E16)</f>
        <v>39.799999999999997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x14ac:dyDescent="0.4">
      <c r="A18" s="36"/>
      <c r="B18" s="22" t="s">
        <v>114</v>
      </c>
      <c r="C18" s="29"/>
      <c r="D18" s="30"/>
      <c r="E18" s="31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16.8" x14ac:dyDescent="0.4">
      <c r="A19" s="36"/>
      <c r="B19" s="9">
        <v>3</v>
      </c>
      <c r="C19" s="118" t="s">
        <v>115</v>
      </c>
      <c r="D19" s="107"/>
      <c r="E19" s="24" t="s">
        <v>73</v>
      </c>
      <c r="F19" s="24" t="s">
        <v>135</v>
      </c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16.8" x14ac:dyDescent="0.4">
      <c r="A20" s="36"/>
      <c r="B20" s="9" t="s">
        <v>11</v>
      </c>
      <c r="C20" s="122" t="s">
        <v>151</v>
      </c>
      <c r="D20" s="107"/>
      <c r="E20" s="32">
        <f>PERC_EMPREG_DEMIT_SEM_JUSTA_CAUSA_TOTAL_DESLIG%*PERC_EMPREG_AVISO_PREVIO_IND%*1/MESES_NO_ANO*100</f>
        <v>0.29105124999999998</v>
      </c>
      <c r="F20" s="32" t="s">
        <v>152</v>
      </c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16.8" x14ac:dyDescent="0.4">
      <c r="A21" s="36"/>
      <c r="B21" s="24" t="s">
        <v>13</v>
      </c>
      <c r="C21" s="117" t="s">
        <v>153</v>
      </c>
      <c r="D21" s="107"/>
      <c r="E21" s="38">
        <f>PERC_AVISO_PREVIO_IND%*PERC_FGTS%*100</f>
        <v>2.3284099999999999E-2</v>
      </c>
      <c r="F21" s="34" t="s">
        <v>154</v>
      </c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6.8" x14ac:dyDescent="0.35">
      <c r="A22" s="5"/>
      <c r="B22" s="24" t="s">
        <v>15</v>
      </c>
      <c r="C22" s="122" t="s">
        <v>155</v>
      </c>
      <c r="D22" s="107"/>
      <c r="E22" s="32">
        <f>PERC_EMPREG_DEMIT_SEM_JUSTA_CAUSA_TOTAL_DESLIG%*PERC_EMPREG_AVISO_PREVIO_IND%*(PERC_MULTA_FGTS%)*PERC_FGTS%*100</f>
        <v>0.11176368</v>
      </c>
      <c r="F22" s="32" t="s">
        <v>156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8" x14ac:dyDescent="0.4">
      <c r="A23" s="36"/>
      <c r="B23" s="24" t="s">
        <v>17</v>
      </c>
      <c r="C23" s="117" t="s">
        <v>157</v>
      </c>
      <c r="D23" s="107"/>
      <c r="E23" s="38">
        <f>PERC_EMPREG_DEMIT_SEM_JUSTA_CAUSA_TOTAL_DESLIG%*PERC_EMPREG_AVISO_PREVIO_TRAB%*(DIAS_NA_SEMANA/DIAS_NO_MES)/MESES_NO_ANO*100</f>
        <v>1.1557269305555555</v>
      </c>
      <c r="F23" s="34" t="s">
        <v>158</v>
      </c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6.8" x14ac:dyDescent="0.4">
      <c r="A24" s="36"/>
      <c r="B24" s="24" t="s">
        <v>19</v>
      </c>
      <c r="C24" s="122" t="s">
        <v>159</v>
      </c>
      <c r="D24" s="107"/>
      <c r="E24" s="32">
        <f>PERC_GPS_FGTS%*PERC_AVISO_PREVIO_TRAB%*100</f>
        <v>0.45997931836111106</v>
      </c>
      <c r="F24" s="32" t="s">
        <v>160</v>
      </c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6.8" x14ac:dyDescent="0.35">
      <c r="A25" s="5"/>
      <c r="B25" s="24" t="s">
        <v>42</v>
      </c>
      <c r="C25" s="117" t="s">
        <v>161</v>
      </c>
      <c r="D25" s="107"/>
      <c r="E25" s="38">
        <f>PERC_EMPREG_DEMIT_SEM_JUSTA_CAUSA_TOTAL_DESLIG%*PERC_EMPREG_AVISO_PREVIO_TRAB%*(PERC_MULTA_FGTS%)*PERC_FGTS%*100</f>
        <v>1.9019963200000001</v>
      </c>
      <c r="F25" s="34" t="s">
        <v>162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8" x14ac:dyDescent="0.4">
      <c r="A26" s="5"/>
      <c r="B26" s="22" t="s">
        <v>69</v>
      </c>
      <c r="C26" s="29"/>
      <c r="D26" s="30"/>
      <c r="E26" s="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8" x14ac:dyDescent="0.4">
      <c r="A27" s="5"/>
      <c r="B27" s="22" t="s">
        <v>70</v>
      </c>
      <c r="C27" s="29"/>
      <c r="D27" s="30"/>
      <c r="E27" s="31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8" x14ac:dyDescent="0.35">
      <c r="A28" s="5"/>
      <c r="B28" s="9" t="s">
        <v>71</v>
      </c>
      <c r="C28" s="120" t="s">
        <v>72</v>
      </c>
      <c r="D28" s="107"/>
      <c r="E28" s="24" t="s">
        <v>73</v>
      </c>
      <c r="F28" s="24" t="s">
        <v>135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8" x14ac:dyDescent="0.35">
      <c r="A29" s="5"/>
      <c r="B29" s="24" t="s">
        <v>11</v>
      </c>
      <c r="C29" s="106" t="s">
        <v>163</v>
      </c>
      <c r="D29" s="107"/>
      <c r="E29" s="32">
        <f>(1/MESES_NO_ANO)*100</f>
        <v>8.3333333333333321</v>
      </c>
      <c r="F29" s="32" t="s">
        <v>164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8" x14ac:dyDescent="0.35">
      <c r="A30" s="5"/>
      <c r="B30" s="24" t="s">
        <v>13</v>
      </c>
      <c r="C30" s="10" t="s">
        <v>165</v>
      </c>
      <c r="D30" s="10"/>
      <c r="E30" s="38">
        <f>(DIAS_AUSENCIAS_LEGAIS/DIAS_NO_MES)/MESES_NO_ANO*100</f>
        <v>2.2222222222222223</v>
      </c>
      <c r="F30" s="34" t="s">
        <v>166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6.8" x14ac:dyDescent="0.35">
      <c r="A31" s="5"/>
      <c r="B31" s="24" t="s">
        <v>15</v>
      </c>
      <c r="C31" s="106" t="s">
        <v>167</v>
      </c>
      <c r="D31" s="107"/>
      <c r="E31" s="32">
        <f>(((DIAS_LICENCA_PATERNIDADE/DIAS_NO_MES)/MESES_NO_ANO)*PERC_NASCIDOS_VIVOS_POPUL_FEM%*PERC_PARTIC_MASC_VIGIL%)*100</f>
        <v>1.7051833333333329E-2</v>
      </c>
      <c r="F31" s="32" t="s">
        <v>168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6.8" x14ac:dyDescent="0.35">
      <c r="A32" s="5"/>
      <c r="B32" s="24" t="s">
        <v>17</v>
      </c>
      <c r="C32" s="121" t="s">
        <v>169</v>
      </c>
      <c r="D32" s="107"/>
      <c r="E32" s="38">
        <f>(DIAS_PAGOS_EMPRESA_ACID_TRAB/DIAS_NO_MES)/MESES_NO_ANO*PERC_EMPREG_AFAST_TRAB%*100</f>
        <v>1.85302229372558E-2</v>
      </c>
      <c r="F32" s="34" t="s">
        <v>170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6.8" x14ac:dyDescent="0.35">
      <c r="A33" s="5"/>
      <c r="B33" s="24" t="s">
        <v>19</v>
      </c>
      <c r="C33" s="106" t="s">
        <v>171</v>
      </c>
      <c r="D33" s="107"/>
      <c r="E33" s="32">
        <f>(((DIAS_LICENCA_MATERNIDADE/DIAS_NO_MES)/MESES_NO_ANO)*PERC_NASCIDOS_VIVOS_POPUL_FEM%*PERC_PARTIC_FEM_VIGIL%*PERC_GPS_FGTS%*100)</f>
        <v>2.5507554666666658E-2</v>
      </c>
      <c r="F33" s="32" t="s">
        <v>172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6.8" x14ac:dyDescent="0.35">
      <c r="A34" s="5"/>
      <c r="B34" s="24" t="s">
        <v>42</v>
      </c>
      <c r="C34" s="143" t="str">
        <f>OUTRAS_AUSENCIAS_DESCRICAO</f>
        <v>Outras Ausências (Especificar em %)</v>
      </c>
      <c r="D34" s="107"/>
      <c r="E34" s="38">
        <f>PERC_SUBSTITUTO_OUTRAS_AUSENCIAS</f>
        <v>0</v>
      </c>
      <c r="F34" s="3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6.8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399999999999999" x14ac:dyDescent="0.4">
      <c r="A36" s="1"/>
      <c r="B36" s="65" t="s">
        <v>94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4">
      <c r="A37" s="1"/>
      <c r="B37" s="157" t="s">
        <v>95</v>
      </c>
      <c r="C37" s="114"/>
      <c r="D37" s="114"/>
      <c r="E37" s="114"/>
      <c r="F37" s="115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4">
      <c r="A38" s="1"/>
      <c r="B38" s="1" t="s">
        <v>173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C4:D4"/>
    <mergeCell ref="C5:D5"/>
    <mergeCell ref="C6:D6"/>
    <mergeCell ref="B7:F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B17:D17"/>
    <mergeCell ref="C28:D28"/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F22" sqref="F2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44140625" style="2" customWidth="1"/>
    <col min="5" max="5" width="13.5546875" style="2" customWidth="1"/>
    <col min="6" max="6" width="20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36" t="str">
        <f>RAMO</f>
        <v>RAMO: CONSELHO NACIONAL DO MINISTÉRIO PÚBLICO</v>
      </c>
      <c r="C1" s="119"/>
      <c r="D1" s="119"/>
      <c r="E1" s="11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37" t="str">
        <f>UG</f>
        <v>UNIDADE GESTORA (SIGLA): CNMP</v>
      </c>
      <c r="C2" s="11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38" t="s">
        <v>174</v>
      </c>
      <c r="C3" s="114"/>
      <c r="D3" s="114"/>
      <c r="E3" s="114"/>
      <c r="F3" s="11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39" t="s">
        <v>3</v>
      </c>
      <c r="C4" s="130"/>
      <c r="D4" s="130"/>
      <c r="E4" s="130"/>
      <c r="F4" s="140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32" t="s">
        <v>175</v>
      </c>
      <c r="C5" s="107"/>
      <c r="D5" s="127" t="str">
        <f>NUMERO_PROCESSO</f>
        <v>19.00.6150.0002989/2025-03</v>
      </c>
      <c r="E5" s="11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8" t="s">
        <v>176</v>
      </c>
      <c r="C6" s="107"/>
      <c r="D6" s="133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4" t="s">
        <v>177</v>
      </c>
      <c r="C7" s="135"/>
      <c r="D7" s="135"/>
      <c r="E7" s="135"/>
      <c r="F7" s="13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32" t="s">
        <v>12</v>
      </c>
      <c r="D8" s="11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7" t="str">
        <f>IF(LOCAL_DE_EXECUCAO="","",LOCAL_DE_EXECUCAO)</f>
        <v>CNMP</v>
      </c>
      <c r="E9" s="11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32" t="s">
        <v>18</v>
      </c>
      <c r="D10" s="11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7" t="s">
        <v>20</v>
      </c>
      <c r="D11" s="11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22" t="s">
        <v>178</v>
      </c>
      <c r="D12" s="119"/>
      <c r="E12" s="107"/>
      <c r="F12" s="13">
        <f>IF('POSTO 12x36 HORAS'!QTDE_POSTOS="","",'POSTO 12x36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32" t="s">
        <v>179</v>
      </c>
      <c r="D14" s="107"/>
      <c r="E14" s="127" t="str">
        <f>IF(TIPO_DE_SERVICO="","",TIPO_DE_SERVICO)</f>
        <v>ALMOXARIFE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26" t="str">
        <f>IF(CBO="","",CBO)</f>
        <v>4141-05</v>
      </c>
      <c r="E15" s="11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7" t="str">
        <f>IF(CATEGORIA_PROFISSIONAL="","",CATEGORIA_PROFISSIONAL)</f>
        <v/>
      </c>
      <c r="E16" s="11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8" t="s">
        <v>31</v>
      </c>
      <c r="D17" s="11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29" t="s">
        <v>180</v>
      </c>
      <c r="C18" s="130"/>
      <c r="D18" s="130"/>
      <c r="E18" s="130"/>
      <c r="F18" s="131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18" t="s">
        <v>181</v>
      </c>
      <c r="C19" s="119"/>
      <c r="D19" s="11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20" t="s">
        <v>35</v>
      </c>
      <c r="D21" s="11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24" t="s">
        <v>182</v>
      </c>
      <c r="D22" s="11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21" t="s">
        <v>183</v>
      </c>
      <c r="D23" s="11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59" t="s">
        <v>184</v>
      </c>
      <c r="D24" s="119"/>
      <c r="E24" s="107"/>
      <c r="F24" s="25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4">
      <c r="A25" s="1"/>
      <c r="B25" s="9" t="s">
        <v>17</v>
      </c>
      <c r="C25" s="121" t="s">
        <v>185</v>
      </c>
      <c r="D25" s="119"/>
      <c r="E25" s="107"/>
      <c r="F25" s="26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4">
      <c r="A26" s="1"/>
      <c r="B26" s="9" t="s">
        <v>19</v>
      </c>
      <c r="C26" s="106" t="s">
        <v>186</v>
      </c>
      <c r="D26" s="119"/>
      <c r="E26" s="107"/>
      <c r="F26" s="25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25" t="str">
        <f>OUTROS_REMUNERACAO_1_DESCRICAO</f>
        <v>Outras Remunerações 1 (Especificar)</v>
      </c>
      <c r="D27" s="119"/>
      <c r="E27" s="107"/>
      <c r="F27" s="26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9" t="s">
        <v>44</v>
      </c>
      <c r="C28" s="124" t="str">
        <f>OUTROS_REMUNERACAO_2_DESCRICAO</f>
        <v>Outras Remunerações 2 (Especificar)</v>
      </c>
      <c r="D28" s="119"/>
      <c r="E28" s="107"/>
      <c r="F28" s="25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9" t="s">
        <v>129</v>
      </c>
      <c r="C29" s="125" t="str">
        <f>OUTROS_REMUNERACAO_3_DESCRICAO</f>
        <v>Outras Remunerações 3 (Especificar)</v>
      </c>
      <c r="D29" s="119"/>
      <c r="E29" s="107"/>
      <c r="F29" s="26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120" t="s">
        <v>150</v>
      </c>
      <c r="C30" s="119"/>
      <c r="D30" s="119"/>
      <c r="E30" s="107"/>
      <c r="F30" s="27">
        <f>SUM(F22:F29)</f>
        <v>2749.17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22" t="s">
        <v>46</v>
      </c>
      <c r="C31" s="1"/>
      <c r="D31" s="1"/>
      <c r="E31" s="28"/>
      <c r="F31" s="2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22" t="s">
        <v>132</v>
      </c>
      <c r="C32" s="29"/>
      <c r="D32" s="30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133</v>
      </c>
      <c r="C33" s="118" t="s">
        <v>134</v>
      </c>
      <c r="D33" s="107"/>
      <c r="E33" s="24" t="s">
        <v>73</v>
      </c>
      <c r="F33" s="24" t="s">
        <v>80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11</v>
      </c>
      <c r="C34" s="106" t="s">
        <v>136</v>
      </c>
      <c r="D34" s="107"/>
      <c r="E34" s="32">
        <f>PERC_DEC_TERC</f>
        <v>8.3333333333333321</v>
      </c>
      <c r="F34" s="33">
        <f>PERC_DEC_TERC%*MOD_1_REMUNERACAO_12X36</f>
        <v>229.09749999999997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24" t="s">
        <v>13</v>
      </c>
      <c r="C35" s="121" t="s">
        <v>138</v>
      </c>
      <c r="D35" s="107"/>
      <c r="E35" s="34">
        <f>PERC_ADIC_FERIAS</f>
        <v>2.7777777777777777</v>
      </c>
      <c r="F35" s="35">
        <f>PERC_ADIC_FERIAS%*MOD_1_REMUNERACAO_12X36</f>
        <v>76.365833333333327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36"/>
      <c r="B36" s="118" t="s">
        <v>150</v>
      </c>
      <c r="C36" s="119"/>
      <c r="D36" s="119"/>
      <c r="E36" s="107"/>
      <c r="F36" s="37">
        <f>SUM(F34:F35)</f>
        <v>305.46333333333331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31.5" customHeight="1" x14ac:dyDescent="0.4">
      <c r="A37" s="36"/>
      <c r="B37" s="123" t="s">
        <v>140</v>
      </c>
      <c r="C37" s="114"/>
      <c r="D37" s="114"/>
      <c r="E37" s="114"/>
      <c r="F37" s="11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34.5" customHeight="1" x14ac:dyDescent="0.4">
      <c r="A38" s="36"/>
      <c r="B38" s="9" t="s">
        <v>48</v>
      </c>
      <c r="C38" s="120" t="s">
        <v>141</v>
      </c>
      <c r="D38" s="107"/>
      <c r="E38" s="24" t="s">
        <v>73</v>
      </c>
      <c r="F38" s="24" t="s">
        <v>80</v>
      </c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1"/>
      <c r="B39" s="9" t="s">
        <v>11</v>
      </c>
      <c r="C39" s="106" t="s">
        <v>142</v>
      </c>
      <c r="D39" s="107"/>
      <c r="E39" s="32">
        <f>PERC_INSS</f>
        <v>20</v>
      </c>
      <c r="F39" s="33">
        <f>PERC_INSS%*(MOD_1_REMUNERACAO_12X36+'POSTO 12x36 HORAS'!SUBMOD_2_1_DEC_TERC_ADIC_FERIAS_12x36+SUBMOD_2_4_INTERVALO_INTRAJORNADA_12X36)</f>
        <v>610.92666666666662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5">
      <c r="A40" s="5"/>
      <c r="B40" s="24" t="s">
        <v>13</v>
      </c>
      <c r="C40" s="121" t="s">
        <v>143</v>
      </c>
      <c r="D40" s="107"/>
      <c r="E40" s="38">
        <f>PERC_SAL_EDUCACAO</f>
        <v>2.5</v>
      </c>
      <c r="F40" s="35">
        <f>PERC_SAL_EDUCACAO%*(MOD_1_REMUNERACAO_12X36+'POSTO 12x36 HORAS'!SUBMOD_2_1_DEC_TERC_ADIC_FERIAS_12x36)</f>
        <v>76.365833333333327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15</v>
      </c>
      <c r="C41" s="106" t="s">
        <v>144</v>
      </c>
      <c r="D41" s="107"/>
      <c r="E41" s="32">
        <f>PERC_RAT</f>
        <v>6</v>
      </c>
      <c r="F41" s="33">
        <f>PERC_RAT%*(MOD_1_REMUNERACAO_12X36+'POSTO 12x36 HORAS'!SUBMOD_2_1_DEC_TERC_ADIC_FERIAS_12x36)</f>
        <v>183.27799999999999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17</v>
      </c>
      <c r="C42" s="121" t="s">
        <v>145</v>
      </c>
      <c r="D42" s="107"/>
      <c r="E42" s="34">
        <f>PERC_SESC</f>
        <v>1.5</v>
      </c>
      <c r="F42" s="35">
        <f>PERC_SESC%*(MOD_1_REMUNERACAO_12X36+'POSTO 12x36 HORAS'!SUBMOD_2_1_DEC_TERC_ADIC_FERIAS_12x36)</f>
        <v>45.819499999999998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19</v>
      </c>
      <c r="C43" s="106" t="s">
        <v>146</v>
      </c>
      <c r="D43" s="107"/>
      <c r="E43" s="32">
        <f>PERC_SENAC</f>
        <v>1</v>
      </c>
      <c r="F43" s="33">
        <f>PERC_SENAC%*(MOD_1_REMUNERACAO_12X36+'POSTO 12x36 HORAS'!SUBMOD_2_1_DEC_TERC_ADIC_FERIAS_12x36)</f>
        <v>30.546333333333333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35">
      <c r="A44" s="5"/>
      <c r="B44" s="24" t="s">
        <v>42</v>
      </c>
      <c r="C44" s="121" t="s">
        <v>147</v>
      </c>
      <c r="D44" s="107"/>
      <c r="E44" s="38">
        <f>PERC_SEBRAE</f>
        <v>0.6</v>
      </c>
      <c r="F44" s="35">
        <f>PERC_SEBRAE%*(MOD_1_REMUNERACAO_12X36+'POSTO 12x36 HORAS'!SUBMOD_2_1_DEC_TERC_ADIC_FERIAS_12x36)</f>
        <v>18.3278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6.5" customHeight="1" x14ac:dyDescent="0.35">
      <c r="A45" s="5"/>
      <c r="B45" s="24" t="s">
        <v>44</v>
      </c>
      <c r="C45" s="106" t="s">
        <v>148</v>
      </c>
      <c r="D45" s="107"/>
      <c r="E45" s="32">
        <f>PERC_INCRA</f>
        <v>0.2</v>
      </c>
      <c r="F45" s="33">
        <f>PERC_INCRA%*(MOD_1_REMUNERACAO_12X36+'POSTO 12x36 HORAS'!SUBMOD_2_1_DEC_TERC_ADIC_FERIAS_12x36)</f>
        <v>6.1092666666666666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6.5" customHeight="1" x14ac:dyDescent="0.4">
      <c r="A46" s="1"/>
      <c r="B46" s="24" t="s">
        <v>129</v>
      </c>
      <c r="C46" s="121" t="s">
        <v>149</v>
      </c>
      <c r="D46" s="107"/>
      <c r="E46" s="38">
        <f>PERC_FGTS</f>
        <v>8</v>
      </c>
      <c r="F46" s="35">
        <f>PERC_FGTS%*(MOD_1_REMUNERACAO_12X36+'POSTO 12x36 HORAS'!SUBMOD_2_1_DEC_TERC_ADIC_FERIAS_12x36)</f>
        <v>244.37066666666666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18" t="s">
        <v>150</v>
      </c>
      <c r="C47" s="119"/>
      <c r="D47" s="119"/>
      <c r="E47" s="107"/>
      <c r="F47" s="39">
        <f>SUM(F39:F46)</f>
        <v>1215.7440666666666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4">
      <c r="A48" s="1"/>
      <c r="B48" s="22" t="s">
        <v>52</v>
      </c>
      <c r="C48" s="5"/>
      <c r="D48" s="5"/>
      <c r="E48" s="5"/>
      <c r="F48" s="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4">
      <c r="A49" s="1"/>
      <c r="B49" s="9" t="s">
        <v>53</v>
      </c>
      <c r="C49" s="120" t="s">
        <v>54</v>
      </c>
      <c r="D49" s="119"/>
      <c r="E49" s="107"/>
      <c r="F49" s="2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7" t="s">
        <v>11</v>
      </c>
      <c r="C50" s="106" t="s">
        <v>56</v>
      </c>
      <c r="D50" s="119"/>
      <c r="E50" s="107"/>
      <c r="F50" s="33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82.524900000000002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36"/>
      <c r="B51" s="7" t="s">
        <v>13</v>
      </c>
      <c r="C51" s="121" t="s">
        <v>58</v>
      </c>
      <c r="D51" s="119"/>
      <c r="E51" s="107"/>
      <c r="F51" s="35">
        <f>IF(AND(ADESAO_AO_PAT="Sim",PERC_PAT&lt;&gt;""),ALIMENTACAO_POR_DIA*DIAS_TRABALHADOS_NO_MES_12X36*(100-PERC_PAT)%,IF(AND(ADESAO_AO_PAT="Sim",PERC_PAT=""),"Insira o % do PAT",ALIMENTACAO_POR_DIA*DIAS_TRABALHADOS_NO_MES_12X36))</f>
        <v>695.7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15</v>
      </c>
      <c r="C52" s="124" t="str">
        <f>OUTROS_BENEFICIOS_1_DESCRICAO</f>
        <v>Outros Benefícios 1 (Especificar)</v>
      </c>
      <c r="D52" s="119"/>
      <c r="E52" s="107"/>
      <c r="F52" s="33">
        <f>OUTROS_BENEFICIOS_1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36"/>
      <c r="B53" s="7" t="s">
        <v>17</v>
      </c>
      <c r="C53" s="125" t="str">
        <f>OUTROS_BENEFICIOS_2_DESCRICAO</f>
        <v>Outros Benefícios 2 (Especificar)</v>
      </c>
      <c r="D53" s="119"/>
      <c r="E53" s="107"/>
      <c r="F53" s="35">
        <f>OUTROS_BENEFICIOS_2</f>
        <v>0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7" t="s">
        <v>19</v>
      </c>
      <c r="C54" s="124" t="str">
        <f>OUTROS_BENEFICIOS_3_DESCRICAO</f>
        <v>Outros Benefícios 3 (Especificar)</v>
      </c>
      <c r="D54" s="119"/>
      <c r="E54" s="107"/>
      <c r="F54" s="33">
        <f>OUTROS_BENEFICIOS_3</f>
        <v>0</v>
      </c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120" t="s">
        <v>150</v>
      </c>
      <c r="C55" s="119"/>
      <c r="D55" s="119"/>
      <c r="E55" s="107"/>
      <c r="F55" s="27">
        <f>SUM(F50:F54)</f>
        <v>778.22490000000005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4">
      <c r="A56" s="1"/>
      <c r="B56" s="22" t="s">
        <v>63</v>
      </c>
      <c r="C56" s="5"/>
      <c r="D56" s="5"/>
      <c r="E56" s="5"/>
      <c r="F56" s="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4">
      <c r="A57" s="1"/>
      <c r="B57" s="9" t="s">
        <v>64</v>
      </c>
      <c r="C57" s="118" t="s">
        <v>65</v>
      </c>
      <c r="D57" s="119"/>
      <c r="E57" s="107"/>
      <c r="F57" s="24" t="s">
        <v>80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7" t="s">
        <v>11</v>
      </c>
      <c r="C58" s="124" t="s">
        <v>65</v>
      </c>
      <c r="D58" s="119"/>
      <c r="E58" s="107"/>
      <c r="F58" s="33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5"/>
      <c r="B59" s="118" t="s">
        <v>150</v>
      </c>
      <c r="C59" s="119"/>
      <c r="D59" s="119"/>
      <c r="E59" s="107"/>
      <c r="F59" s="37">
        <f>SUM(F58)</f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36"/>
      <c r="B60" s="22" t="s">
        <v>114</v>
      </c>
      <c r="C60" s="29"/>
      <c r="D60" s="30"/>
      <c r="E60" s="31"/>
      <c r="F60" s="31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" customHeight="1" x14ac:dyDescent="0.4">
      <c r="A61" s="36"/>
      <c r="B61" s="9">
        <v>3</v>
      </c>
      <c r="C61" s="118" t="s">
        <v>115</v>
      </c>
      <c r="D61" s="107"/>
      <c r="E61" s="24" t="s">
        <v>73</v>
      </c>
      <c r="F61" s="24" t="s">
        <v>80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36"/>
      <c r="B62" s="9" t="s">
        <v>11</v>
      </c>
      <c r="C62" s="122" t="s">
        <v>151</v>
      </c>
      <c r="D62" s="107"/>
      <c r="E62" s="32">
        <f>PERC_AVISO_PREVIO_IND</f>
        <v>0.29105124999999998</v>
      </c>
      <c r="F62" s="33">
        <f>PERC_AVISO_PREVIO_IND%*(MOD_1_REMUNERACAO_12X36+'POSTO 12x36 HORAS'!SUBMOD_2_1_DEC_TERC_ADIC_FERIAS_12x36)</f>
        <v>8.8905484995833319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6.5" customHeight="1" x14ac:dyDescent="0.4">
      <c r="A63" s="36"/>
      <c r="B63" s="24" t="s">
        <v>13</v>
      </c>
      <c r="C63" s="117" t="s">
        <v>153</v>
      </c>
      <c r="D63" s="107"/>
      <c r="E63" s="38">
        <f>INCID_FGTS_SOBRE_API</f>
        <v>2.3284099999999999E-2</v>
      </c>
      <c r="F63" s="35">
        <f>INCID_FGTS_SOBRE_API%*(MOD_1_REMUNERACAO_12X36+'POSTO 12x36 HORAS'!SUBMOD_2_1_DEC_TERC_ADIC_FERIAS_12x36)</f>
        <v>0.7112438799666666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6.5" customHeight="1" x14ac:dyDescent="0.35">
      <c r="A64" s="5"/>
      <c r="B64" s="24" t="s">
        <v>15</v>
      </c>
      <c r="C64" s="122" t="s">
        <v>155</v>
      </c>
      <c r="D64" s="107"/>
      <c r="E64" s="32">
        <f>PERC_MULTA_FGTS_AV_PREV_IND</f>
        <v>0.11176368</v>
      </c>
      <c r="F64" s="33">
        <f>PERC_MULTA_FGTS_AV_PREV_IND%*(MOD_1_REMUNERACAO_12X36+'POSTO 12x36 HORAS'!SUBMOD_2_1_DEC_TERC_ADIC_FERIAS_12x36)</f>
        <v>3.4139706238400001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 x14ac:dyDescent="0.35">
      <c r="A65" s="5"/>
      <c r="B65" s="24" t="s">
        <v>17</v>
      </c>
      <c r="C65" s="117" t="s">
        <v>157</v>
      </c>
      <c r="D65" s="107"/>
      <c r="E65" s="38">
        <f>PERC_AVISO_PREVIO_TRAB</f>
        <v>1.1557269305555555</v>
      </c>
      <c r="F65" s="35">
        <f>PERC_AVISO_PREVIO_TRAB%*(MOD_1_REMUNERACAO_12X36+'POSTO 12x36 HORAS'!SUBMOD_2_1_DEC_TERC_ADIC_FERIAS_12x36)</f>
        <v>35.303220063060181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24" t="s">
        <v>19</v>
      </c>
      <c r="C66" s="122" t="s">
        <v>159</v>
      </c>
      <c r="D66" s="107"/>
      <c r="E66" s="32">
        <f>INCID_SUBMOD_2_2_APT</f>
        <v>0.45997931836111106</v>
      </c>
      <c r="F66" s="33">
        <f>E66%*(MOD_1_REMUNERACAO_12X36+'POSTO 12x36 HORAS'!SUBMOD_2_1_DEC_TERC_ADIC_FERIAS_12x36)</f>
        <v>14.050681585097951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6.5" customHeight="1" x14ac:dyDescent="0.35">
      <c r="A67" s="5"/>
      <c r="B67" s="24" t="s">
        <v>42</v>
      </c>
      <c r="C67" s="117" t="s">
        <v>161</v>
      </c>
      <c r="D67" s="107"/>
      <c r="E67" s="38">
        <f>PERC_MULTA_FGTS_AV_PREV_TRAB</f>
        <v>1.9019963200000001</v>
      </c>
      <c r="F67" s="35">
        <f>PERC_MULTA_FGTS_AV_PREV_TRAB%*(MOD_1_REMUNERACAO_12X36+'POSTO 12x36 HORAS'!SUBMOD_2_1_DEC_TERC_ADIC_FERIAS_12x36)</f>
        <v>58.099013589493332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6.5" customHeight="1" x14ac:dyDescent="0.4">
      <c r="A68" s="5"/>
      <c r="B68" s="118" t="s">
        <v>150</v>
      </c>
      <c r="C68" s="119"/>
      <c r="D68" s="119"/>
      <c r="E68" s="107"/>
      <c r="F68" s="37">
        <f>SUM(F62:F67)</f>
        <v>120.46867824104146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7.5" customHeight="1" x14ac:dyDescent="0.4">
      <c r="A69" s="1"/>
      <c r="B69" s="40"/>
      <c r="C69" s="1"/>
      <c r="D69" s="41"/>
      <c r="E69" s="23"/>
      <c r="F69" s="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4">
      <c r="A70" s="5"/>
      <c r="B70" s="22" t="s">
        <v>69</v>
      </c>
      <c r="C70" s="29"/>
      <c r="D70" s="30"/>
      <c r="E70" s="1"/>
      <c r="F70" s="1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4">
      <c r="A71" s="5"/>
      <c r="B71" s="22" t="s">
        <v>70</v>
      </c>
      <c r="C71" s="29"/>
      <c r="D71" s="30"/>
      <c r="E71" s="31"/>
      <c r="F71" s="31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9" t="s">
        <v>71</v>
      </c>
      <c r="C72" s="120" t="s">
        <v>72</v>
      </c>
      <c r="D72" s="107"/>
      <c r="E72" s="24" t="s">
        <v>73</v>
      </c>
      <c r="F72" s="24" t="s">
        <v>80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24" t="s">
        <v>11</v>
      </c>
      <c r="C73" s="106" t="s">
        <v>163</v>
      </c>
      <c r="D73" s="107"/>
      <c r="E73" s="32">
        <f>PERC_SUBSTITUTO_FERIAS</f>
        <v>8.3333333333333321</v>
      </c>
      <c r="F73" s="33">
        <f t="array" ref="F73">PERC_SUBSTITUTO_FERIAS%*(MOD_1_REMUNERACAO_12X36+'POSTO 12x36 HORAS'!MOD_2_ENCARGOS_BENEFICIOS_12x36)</f>
        <v>420.71685833333328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24" t="s">
        <v>13</v>
      </c>
      <c r="C74" s="121" t="s">
        <v>165</v>
      </c>
      <c r="D74" s="107"/>
      <c r="E74" s="38">
        <f>PERC_SUBSTITUTO_AUSENCIAS_LEGAIS</f>
        <v>2.2222222222222223</v>
      </c>
      <c r="F74" s="35">
        <f t="array" ref="F74">PERC_SUBSTITUTO_AUSENCIAS_LEGAIS%*(MOD_1_REMUNERACAO_12X36+'POSTO 12x36 HORAS'!MOD_2_ENCARGOS_BENEFICIOS_12x36)</f>
        <v>112.19116222222223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24" t="s">
        <v>15</v>
      </c>
      <c r="C75" s="106" t="s">
        <v>167</v>
      </c>
      <c r="D75" s="107"/>
      <c r="E75" s="32">
        <f>PERC_SUBSTITUTO_LICENCA_PATERNIDADE</f>
        <v>1.7051833333333329E-2</v>
      </c>
      <c r="F75" s="33">
        <f t="array" ref="F75">PERC_SUBSTITUTO_LICENCA_PATERNIDADE%*(MOD_1_REMUNERACAO_12X36+'POSTO 12x36 HORAS'!MOD_2_ENCARGOS_BENEFICIOS_12x36)</f>
        <v>0.86087924985883313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6.5" customHeight="1" x14ac:dyDescent="0.35">
      <c r="A76" s="5"/>
      <c r="B76" s="24" t="s">
        <v>17</v>
      </c>
      <c r="C76" s="121" t="s">
        <v>169</v>
      </c>
      <c r="D76" s="107"/>
      <c r="E76" s="38">
        <f>PERC_SUBSTITUTO_ACID_TRAB</f>
        <v>1.85302229372558E-2</v>
      </c>
      <c r="F76" s="35">
        <f t="array" ref="F76">PERC_SUBSTITUTO_ACID_TRAB%*(MOD_1_REMUNERACAO_12X36+'POSTO 12x36 HORAS'!MOD_2_ENCARGOS_BENEFICIOS_12x36)</f>
        <v>0.93551726140542391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6.5" customHeight="1" x14ac:dyDescent="0.35">
      <c r="A77" s="5"/>
      <c r="B77" s="24" t="s">
        <v>19</v>
      </c>
      <c r="C77" s="106" t="s">
        <v>171</v>
      </c>
      <c r="D77" s="107"/>
      <c r="E77" s="32">
        <f>PERC_SUBSTITUTO_AFAST_MATERN</f>
        <v>2.5507554666666658E-2</v>
      </c>
      <c r="F77" s="33">
        <f t="array" ref="F77">PERC_SUBSTITUTO_AFAST_MATERN%*(MOD_1_REMUNERACAO_12X36+'POSTO 12x36 HORAS'!MOD_2_ENCARGOS_BENEFICIOS_12x36)</f>
        <v>1.2877749915750905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6.5" customHeight="1" x14ac:dyDescent="0.35">
      <c r="A78" s="5"/>
      <c r="B78" s="24" t="s">
        <v>42</v>
      </c>
      <c r="C78" s="143" t="str">
        <f>OUTRAS_AUSENCIAS_DESCRICAO</f>
        <v>Outras Ausências (Especificar em %)</v>
      </c>
      <c r="D78" s="107"/>
      <c r="E78" s="42">
        <f>PERC_SUBSTITUTO_OUTRAS_AUSENCIAS</f>
        <v>0</v>
      </c>
      <c r="F78" s="35">
        <f t="array" ref="F78">PERC_SUBSTITUTO_OUTRAS_AUSENCIAS%*(MOD_1_REMUNERACAO_12X36+'POSTO 12x36 HORAS'!MOD_2_ENCARGOS_BENEFICIOS_12x36)</f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6.5" customHeight="1" x14ac:dyDescent="0.4">
      <c r="A79" s="5"/>
      <c r="B79" s="118" t="s">
        <v>150</v>
      </c>
      <c r="C79" s="119"/>
      <c r="D79" s="119"/>
      <c r="E79" s="107"/>
      <c r="F79" s="37">
        <f>SUM(F73:F78)</f>
        <v>535.99219205839483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4">
      <c r="A80" s="5"/>
      <c r="B80" s="22" t="s">
        <v>75</v>
      </c>
      <c r="C80" s="29"/>
      <c r="D80" s="30"/>
      <c r="E80" s="31"/>
      <c r="F80" s="31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6.5" customHeight="1" x14ac:dyDescent="0.35">
      <c r="A81" s="5"/>
      <c r="B81" s="9" t="s">
        <v>76</v>
      </c>
      <c r="C81" s="118" t="s">
        <v>77</v>
      </c>
      <c r="D81" s="119"/>
      <c r="E81" s="107"/>
      <c r="F81" s="24" t="s">
        <v>80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6.5" customHeight="1" x14ac:dyDescent="0.35">
      <c r="A82" s="5"/>
      <c r="B82" s="9" t="s">
        <v>11</v>
      </c>
      <c r="C82" s="106" t="s">
        <v>187</v>
      </c>
      <c r="D82" s="119"/>
      <c r="E82" s="107"/>
      <c r="F82" s="25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6.5" customHeight="1" x14ac:dyDescent="0.4">
      <c r="A83" s="5"/>
      <c r="B83" s="118" t="s">
        <v>150</v>
      </c>
      <c r="C83" s="119"/>
      <c r="D83" s="119"/>
      <c r="E83" s="107"/>
      <c r="F83" s="37">
        <f>SUM(F82)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4">
      <c r="A84" s="1"/>
      <c r="B84" s="40"/>
      <c r="C84" s="1"/>
      <c r="D84" s="41"/>
      <c r="E84" s="23"/>
      <c r="F84" s="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22" t="s">
        <v>78</v>
      </c>
      <c r="C85" s="29"/>
      <c r="D85" s="29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43">
        <v>5</v>
      </c>
      <c r="C86" s="112" t="s">
        <v>79</v>
      </c>
      <c r="D86" s="109"/>
      <c r="E86" s="110"/>
      <c r="F86" s="44" t="s">
        <v>80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45" t="s">
        <v>11</v>
      </c>
      <c r="C87" s="108" t="s">
        <v>81</v>
      </c>
      <c r="D87" s="109"/>
      <c r="E87" s="110"/>
      <c r="F87" s="46">
        <f>UNIFORMES</f>
        <v>129.87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45" t="s">
        <v>13</v>
      </c>
      <c r="C88" s="116" t="s">
        <v>82</v>
      </c>
      <c r="D88" s="109"/>
      <c r="E88" s="110"/>
      <c r="F88" s="47">
        <f>MATERIAIS</f>
        <v>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45" t="s">
        <v>15</v>
      </c>
      <c r="C89" s="108" t="s">
        <v>83</v>
      </c>
      <c r="D89" s="109"/>
      <c r="E89" s="110"/>
      <c r="F89" s="46">
        <f>EQUIPAMENTOS</f>
        <v>0.52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45" t="s">
        <v>17</v>
      </c>
      <c r="C90" s="111" t="str">
        <f>OUTROS_INSUMOS_DESCRICAO</f>
        <v>EPI</v>
      </c>
      <c r="D90" s="109"/>
      <c r="E90" s="110"/>
      <c r="F90" s="47">
        <f>OUTROS_INSUMOS</f>
        <v>17.260000000000002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12" t="s">
        <v>150</v>
      </c>
      <c r="C91" s="109"/>
      <c r="D91" s="109"/>
      <c r="E91" s="110"/>
      <c r="F91" s="48">
        <f>SUM(F87:F90)</f>
        <v>147.65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4">
      <c r="A92" s="1"/>
      <c r="B92" s="40"/>
      <c r="C92" s="1"/>
      <c r="D92" s="41"/>
      <c r="E92" s="23"/>
      <c r="F92" s="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4">
      <c r="A93" s="1"/>
      <c r="B93" s="113" t="s">
        <v>84</v>
      </c>
      <c r="C93" s="114"/>
      <c r="D93" s="114"/>
      <c r="E93" s="114"/>
      <c r="F93" s="115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9">
        <v>6</v>
      </c>
      <c r="C94" s="118" t="s">
        <v>85</v>
      </c>
      <c r="D94" s="107"/>
      <c r="E94" s="24" t="s">
        <v>73</v>
      </c>
      <c r="F94" s="24" t="s">
        <v>80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9" t="s">
        <v>11</v>
      </c>
      <c r="C95" s="106" t="s">
        <v>86</v>
      </c>
      <c r="D95" s="107"/>
      <c r="E95" s="49">
        <f>PERC_CUSTOS_INDIRETOS</f>
        <v>4.7300000000000004</v>
      </c>
      <c r="F95" s="33">
        <f>PERC_CUSTOS_INDIRETOS%*(MOD_1_REMUNERACAO_12X36+'POSTO 12x36 HORAS'!MOD_2_ENCARGOS_BENEFICIOS_12x36+'POSTO 12x36 HORAS'!MOD_3_PROVISAO_RESCISAO_12x36+'POSTO 12x36 HORAS'!MOD_4_CUSTO_REPOSICAO_12x36+'POSTO 12x36 HORAS'!MOD_5_INSUMOS_12x36)</f>
        <v>276.83333295516337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4">
      <c r="A96" s="1"/>
      <c r="B96" s="24" t="s">
        <v>13</v>
      </c>
      <c r="C96" s="121" t="s">
        <v>87</v>
      </c>
      <c r="D96" s="107"/>
      <c r="E96" s="50">
        <f>PERC_LUCRO</f>
        <v>5.57</v>
      </c>
      <c r="F96" s="35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341.41574023128123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24" t="s">
        <v>15</v>
      </c>
      <c r="C97" s="106" t="s">
        <v>188</v>
      </c>
      <c r="D97" s="107"/>
      <c r="E97" s="49">
        <f t="shared" ref="E97:F97" si="0">SUM(E98:E100)</f>
        <v>8.65</v>
      </c>
      <c r="F97" s="33">
        <f t="shared" si="0"/>
        <v>612.74026717189793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4">
      <c r="A98" s="1"/>
      <c r="B98" s="51" t="s">
        <v>88</v>
      </c>
      <c r="C98" s="141" t="s">
        <v>89</v>
      </c>
      <c r="D98" s="107"/>
      <c r="E98" s="52">
        <f>PERC_PIS</f>
        <v>0.65</v>
      </c>
      <c r="F98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46.044066319275565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51" t="s">
        <v>90</v>
      </c>
      <c r="C99" s="142" t="s">
        <v>91</v>
      </c>
      <c r="D99" s="107"/>
      <c r="E99" s="54">
        <f>PERC_COFINS</f>
        <v>3</v>
      </c>
      <c r="F99" s="55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212.51107531973338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56"/>
      <c r="B100" s="51" t="s">
        <v>92</v>
      </c>
      <c r="C100" s="141" t="s">
        <v>93</v>
      </c>
      <c r="D100" s="107"/>
      <c r="E100" s="52">
        <f>PERC_ISS</f>
        <v>5</v>
      </c>
      <c r="F100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354.185125532889</v>
      </c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6.5" customHeight="1" x14ac:dyDescent="0.4">
      <c r="A101" s="56"/>
      <c r="B101" s="118" t="s">
        <v>150</v>
      </c>
      <c r="C101" s="119"/>
      <c r="D101" s="119"/>
      <c r="E101" s="107"/>
      <c r="F101" s="57">
        <f>'POSTO 12x36 HORAS'!AL_6_A_CUSTOS_INDIRETOS_12x36+'POSTO 12x36 HORAS'!AL_6_B_LUCRO_12x36+'POSTO 12x36 HORAS'!AL_6_C_TRIBUTOS_12x36</f>
        <v>1230.9893403583424</v>
      </c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6.5" customHeight="1" x14ac:dyDescent="0.4">
      <c r="A102" s="56"/>
      <c r="B102" s="58" t="s">
        <v>189</v>
      </c>
      <c r="C102" s="59"/>
      <c r="D102" s="59"/>
      <c r="E102" s="59"/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6.5" customHeight="1" x14ac:dyDescent="0.4">
      <c r="A103" s="61"/>
      <c r="B103" s="24" t="s">
        <v>190</v>
      </c>
      <c r="C103" s="120" t="s">
        <v>191</v>
      </c>
      <c r="D103" s="119"/>
      <c r="E103" s="107"/>
      <c r="F103" s="24" t="s">
        <v>192</v>
      </c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6.5" customHeight="1" x14ac:dyDescent="0.4">
      <c r="A104" s="56"/>
      <c r="B104" s="9">
        <v>1</v>
      </c>
      <c r="C104" s="106" t="s">
        <v>35</v>
      </c>
      <c r="D104" s="119"/>
      <c r="E104" s="107"/>
      <c r="F104" s="33">
        <f>MOD_1_REMUNERACAO_12X36</f>
        <v>2749.17</v>
      </c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6.5" customHeight="1" x14ac:dyDescent="0.4">
      <c r="A105" s="62"/>
      <c r="B105" s="24">
        <v>2</v>
      </c>
      <c r="C105" s="121" t="s">
        <v>193</v>
      </c>
      <c r="D105" s="119"/>
      <c r="E105" s="107"/>
      <c r="F105" s="35">
        <f>'POSTO 12x36 HORAS'!MOD_2_ENCARGOS_BENEFICIOS_12x36</f>
        <v>2299.4322999999999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6.5" customHeight="1" x14ac:dyDescent="0.4">
      <c r="A106" s="62"/>
      <c r="B106" s="24">
        <v>3</v>
      </c>
      <c r="C106" s="106" t="s">
        <v>115</v>
      </c>
      <c r="D106" s="119"/>
      <c r="E106" s="107"/>
      <c r="F106" s="33">
        <f>'POSTO 12x36 HORAS'!MOD_3_PROVISAO_RESCISAO_12x36</f>
        <v>120.46867824104146</v>
      </c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6.5" customHeight="1" x14ac:dyDescent="0.4">
      <c r="A107" s="62"/>
      <c r="B107" s="24">
        <v>4</v>
      </c>
      <c r="C107" s="121" t="s">
        <v>194</v>
      </c>
      <c r="D107" s="119"/>
      <c r="E107" s="107"/>
      <c r="F107" s="35">
        <f>'POSTO 12x36 HORAS'!MOD_4_CUSTO_REPOSICAO_12x36</f>
        <v>535.99219205839483</v>
      </c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6.5" customHeight="1" x14ac:dyDescent="0.4">
      <c r="A108" s="62"/>
      <c r="B108" s="24">
        <v>5</v>
      </c>
      <c r="C108" s="106" t="s">
        <v>79</v>
      </c>
      <c r="D108" s="119"/>
      <c r="E108" s="107"/>
      <c r="F108" s="33">
        <f>'POSTO 12x36 HORAS'!MOD_5_INSUMOS_12x36</f>
        <v>147.65</v>
      </c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6.5" customHeight="1" x14ac:dyDescent="0.4">
      <c r="A109" s="62"/>
      <c r="B109" s="24">
        <v>6</v>
      </c>
      <c r="C109" s="121" t="s">
        <v>85</v>
      </c>
      <c r="D109" s="119"/>
      <c r="E109" s="107"/>
      <c r="F109" s="35">
        <f>'POSTO 12x36 HORAS'!MOD_6_CUSTOS_IND_LUCRO_TRIB_12x36</f>
        <v>1230.9893403583424</v>
      </c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6.5" customHeight="1" x14ac:dyDescent="0.4">
      <c r="A110" s="1"/>
      <c r="B110" s="120" t="s">
        <v>195</v>
      </c>
      <c r="C110" s="119"/>
      <c r="D110" s="119"/>
      <c r="E110" s="107"/>
      <c r="F110" s="57">
        <f>SUM(F104:F109)</f>
        <v>7083.7025106577785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20" t="s">
        <v>196</v>
      </c>
      <c r="C111" s="119"/>
      <c r="D111" s="119"/>
      <c r="E111" s="107"/>
      <c r="F111" s="57">
        <f>'POSTO 12x36 HORAS'!VALOR_TOTAL_EMPREGADO_12x36*EMPREG_POR_POSTO</f>
        <v>7083.7025106577785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20" t="s">
        <v>197</v>
      </c>
      <c r="C112" s="119"/>
      <c r="D112" s="119"/>
      <c r="E112" s="107"/>
      <c r="F112" s="57">
        <f>'POSTO 12x36 HORAS'!VALOR_TOTAL_EMPREGADO_12x36*EMPREG_POR_POSTO*'POSTO 12x36 HORAS'!QTDE_POSTOS</f>
        <v>7083.7025106577785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 t="s">
        <v>173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4:D44"/>
    <mergeCell ref="C45:D45"/>
    <mergeCell ref="C46:D46"/>
    <mergeCell ref="B47:E47"/>
    <mergeCell ref="C49:E49"/>
    <mergeCell ref="C50:E50"/>
    <mergeCell ref="C51:E51"/>
    <mergeCell ref="C52:E52"/>
    <mergeCell ref="C53:E53"/>
    <mergeCell ref="C54:E54"/>
    <mergeCell ref="C65:D65"/>
    <mergeCell ref="C66:D66"/>
    <mergeCell ref="B55:E55"/>
    <mergeCell ref="C57:E57"/>
    <mergeCell ref="C58:E58"/>
    <mergeCell ref="B59:E59"/>
    <mergeCell ref="C61:D61"/>
    <mergeCell ref="C88:E88"/>
    <mergeCell ref="C89:E89"/>
    <mergeCell ref="B83:E83"/>
    <mergeCell ref="C86:E86"/>
    <mergeCell ref="C87:E87"/>
    <mergeCell ref="C90:E90"/>
    <mergeCell ref="B91:E91"/>
    <mergeCell ref="B93:F93"/>
    <mergeCell ref="C94:D94"/>
    <mergeCell ref="C95:D95"/>
    <mergeCell ref="C96:D96"/>
    <mergeCell ref="C97:D97"/>
    <mergeCell ref="C98:D98"/>
    <mergeCell ref="C99:D99"/>
    <mergeCell ref="C100:D100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  <mergeCell ref="C10:E10"/>
    <mergeCell ref="C11:E11"/>
    <mergeCell ref="C12:E12"/>
    <mergeCell ref="C14:D14"/>
    <mergeCell ref="E14:F14"/>
    <mergeCell ref="D15:F15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B30:E30"/>
    <mergeCell ref="C33:D33"/>
    <mergeCell ref="C34:D34"/>
    <mergeCell ref="C35:D35"/>
    <mergeCell ref="B36:E36"/>
    <mergeCell ref="B37:F37"/>
    <mergeCell ref="C38:D38"/>
    <mergeCell ref="C39:D39"/>
    <mergeCell ref="C40:D40"/>
    <mergeCell ref="C41:D41"/>
    <mergeCell ref="C42:D42"/>
    <mergeCell ref="C43:D43"/>
    <mergeCell ref="C78:D78"/>
    <mergeCell ref="B79:E79"/>
    <mergeCell ref="C81:E81"/>
    <mergeCell ref="C82:E82"/>
    <mergeCell ref="C75:D75"/>
    <mergeCell ref="C76:D76"/>
    <mergeCell ref="C77:D77"/>
    <mergeCell ref="B68:E68"/>
    <mergeCell ref="C67:D67"/>
    <mergeCell ref="C72:D72"/>
    <mergeCell ref="C73:D73"/>
    <mergeCell ref="C74:D74"/>
    <mergeCell ref="C62:D62"/>
    <mergeCell ref="C63:D63"/>
    <mergeCell ref="C64:D64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topLeftCell="A85" workbookViewId="0">
      <selection activeCell="E32" sqref="E3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6640625" style="2" customWidth="1"/>
    <col min="5" max="5" width="13.5546875" style="2" customWidth="1"/>
    <col min="6" max="6" width="19.4414062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36" t="str">
        <f>RAMO</f>
        <v>RAMO: CONSELHO NACIONAL DO MINISTÉRIO PÚBLICO</v>
      </c>
      <c r="C1" s="119"/>
      <c r="D1" s="119"/>
      <c r="E1" s="119"/>
      <c r="F1" s="10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37" t="str">
        <f>UG</f>
        <v>UNIDADE GESTORA (SIGLA): CNMP</v>
      </c>
      <c r="C2" s="119"/>
      <c r="D2" s="107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38" t="s">
        <v>174</v>
      </c>
      <c r="C3" s="114"/>
      <c r="D3" s="114"/>
      <c r="E3" s="114"/>
      <c r="F3" s="11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39" t="s">
        <v>3</v>
      </c>
      <c r="C4" s="130"/>
      <c r="D4" s="130"/>
      <c r="E4" s="130"/>
      <c r="F4" s="140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32" t="s">
        <v>175</v>
      </c>
      <c r="C5" s="107"/>
      <c r="D5" s="127" t="str">
        <f>NUMERO_PROCESSO</f>
        <v>19.00.6150.0002989/2025-03</v>
      </c>
      <c r="E5" s="119"/>
      <c r="F5" s="107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8" t="s">
        <v>176</v>
      </c>
      <c r="C6" s="107"/>
      <c r="D6" s="133" t="str">
        <f>MODALIDADE_DE_LICITACAO</f>
        <v>Pregão nº</v>
      </c>
      <c r="E6" s="107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34" t="s">
        <v>177</v>
      </c>
      <c r="C7" s="135"/>
      <c r="D7" s="135"/>
      <c r="E7" s="135"/>
      <c r="F7" s="13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32" t="s">
        <v>12</v>
      </c>
      <c r="D8" s="119"/>
      <c r="E8" s="107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17" t="str">
        <f>IF(LOCAL_DE_EXECUCAO="","",LOCAL_DE_EXECUCAO)</f>
        <v>CNMP</v>
      </c>
      <c r="E9" s="119"/>
      <c r="F9" s="107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32" t="s">
        <v>18</v>
      </c>
      <c r="D10" s="119"/>
      <c r="E10" s="107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17" t="s">
        <v>20</v>
      </c>
      <c r="D11" s="119"/>
      <c r="E11" s="107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22" t="s">
        <v>178</v>
      </c>
      <c r="D12" s="119"/>
      <c r="E12" s="107"/>
      <c r="F12" s="13">
        <f>IF('POSTO 40 HORAS'!QTDE_POSTOS="","",'POSTO 40 HORAS'!QTDE_POSTOS)</f>
        <v>1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32" t="s">
        <v>179</v>
      </c>
      <c r="D14" s="107"/>
      <c r="E14" s="127" t="str">
        <f>IF(TIPO_DE_SERVICO="","",TIPO_DE_SERVICO)</f>
        <v>ALMOXARIFE</v>
      </c>
      <c r="F14" s="107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26" t="str">
        <f>IF(CBO="","",CBO)</f>
        <v>4141-05</v>
      </c>
      <c r="E15" s="119"/>
      <c r="F15" s="107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27" t="str">
        <f>IF(CATEGORIA_PROFISSIONAL="","",CATEGORIA_PROFISSIONAL)</f>
        <v/>
      </c>
      <c r="E16" s="119"/>
      <c r="F16" s="107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8" t="s">
        <v>31</v>
      </c>
      <c r="D17" s="119"/>
      <c r="E17" s="107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29" t="s">
        <v>180</v>
      </c>
      <c r="C18" s="130"/>
      <c r="D18" s="130"/>
      <c r="E18" s="130"/>
      <c r="F18" s="131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18" t="s">
        <v>181</v>
      </c>
      <c r="C19" s="119"/>
      <c r="D19" s="119"/>
      <c r="E19" s="107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20" t="s">
        <v>35</v>
      </c>
      <c r="D21" s="119"/>
      <c r="E21" s="107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24" t="s">
        <v>182</v>
      </c>
      <c r="D22" s="119"/>
      <c r="E22" s="107"/>
      <c r="F22" s="25">
        <f>SALARIO_BASE</f>
        <v>2749.17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21" t="s">
        <v>183</v>
      </c>
      <c r="D23" s="119"/>
      <c r="E23" s="107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06" t="s">
        <v>186</v>
      </c>
      <c r="D24" s="119"/>
      <c r="E24" s="107"/>
      <c r="F24" s="25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1"/>
      <c r="B25" s="9" t="s">
        <v>17</v>
      </c>
      <c r="C25" s="125" t="str">
        <f>OUTROS_REMUNERACAO_1_DESCRICAO</f>
        <v>Outras Remunerações 1 (Especificar)</v>
      </c>
      <c r="D25" s="119"/>
      <c r="E25" s="107"/>
      <c r="F25" s="26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4">
      <c r="A26" s="1"/>
      <c r="B26" s="9" t="s">
        <v>19</v>
      </c>
      <c r="C26" s="124" t="str">
        <f>OUTROS_REMUNERACAO_2_DESCRICAO</f>
        <v>Outras Remunerações 2 (Especificar)</v>
      </c>
      <c r="D26" s="119"/>
      <c r="E26" s="107"/>
      <c r="F26" s="25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25" t="str">
        <f>OUTROS_REMUNERACAO_3_DESCRICAO</f>
        <v>Outras Remunerações 3 (Especificar)</v>
      </c>
      <c r="D27" s="119"/>
      <c r="E27" s="107"/>
      <c r="F27" s="26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120" t="s">
        <v>150</v>
      </c>
      <c r="C28" s="119"/>
      <c r="D28" s="119"/>
      <c r="E28" s="107"/>
      <c r="F28" s="27">
        <f>SUM(F22:F27)</f>
        <v>2749.17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46</v>
      </c>
      <c r="C29" s="1"/>
      <c r="D29" s="1"/>
      <c r="E29" s="28"/>
      <c r="F29" s="2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22" t="s">
        <v>132</v>
      </c>
      <c r="C30" s="29"/>
      <c r="D30" s="30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133</v>
      </c>
      <c r="C31" s="118" t="s">
        <v>134</v>
      </c>
      <c r="D31" s="107"/>
      <c r="E31" s="24" t="s">
        <v>73</v>
      </c>
      <c r="F31" s="24" t="s">
        <v>80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11</v>
      </c>
      <c r="C32" s="106" t="s">
        <v>136</v>
      </c>
      <c r="D32" s="107"/>
      <c r="E32" s="32">
        <f>PERC_DEC_TERC</f>
        <v>8.3333333333333321</v>
      </c>
      <c r="F32" s="33">
        <f>PERC_DEC_TERC%*'POSTO 40 HORAS'!MOD_1_REMUNERACAO_44H</f>
        <v>229.09749999999997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24" t="s">
        <v>13</v>
      </c>
      <c r="C33" s="121" t="s">
        <v>138</v>
      </c>
      <c r="D33" s="107"/>
      <c r="E33" s="34">
        <f>PERC_ADIC_FERIAS</f>
        <v>2.7777777777777777</v>
      </c>
      <c r="F33" s="35">
        <f>PERC_ADIC_FERIAS%*'POSTO 40 HORAS'!MOD_1_REMUNERACAO_44H</f>
        <v>76.365833333333327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36"/>
      <c r="B34" s="118" t="s">
        <v>150</v>
      </c>
      <c r="C34" s="119"/>
      <c r="D34" s="119"/>
      <c r="E34" s="107"/>
      <c r="F34" s="37">
        <f>SUM(F32:F33)</f>
        <v>305.46333333333331</v>
      </c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31.5" customHeight="1" x14ac:dyDescent="0.4">
      <c r="A35" s="36"/>
      <c r="B35" s="123" t="s">
        <v>140</v>
      </c>
      <c r="C35" s="114"/>
      <c r="D35" s="114"/>
      <c r="E35" s="114"/>
      <c r="F35" s="11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34.5" customHeight="1" x14ac:dyDescent="0.4">
      <c r="A36" s="36"/>
      <c r="B36" s="9" t="s">
        <v>48</v>
      </c>
      <c r="C36" s="120" t="s">
        <v>141</v>
      </c>
      <c r="D36" s="107"/>
      <c r="E36" s="24" t="s">
        <v>73</v>
      </c>
      <c r="F36" s="24" t="s">
        <v>80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6.5" customHeight="1" x14ac:dyDescent="0.4">
      <c r="A37" s="1"/>
      <c r="B37" s="9" t="s">
        <v>11</v>
      </c>
      <c r="C37" s="106" t="s">
        <v>142</v>
      </c>
      <c r="D37" s="107"/>
      <c r="E37" s="32">
        <f>PERC_INSS</f>
        <v>20</v>
      </c>
      <c r="F37" s="33">
        <f>PERC_INSS%*('POSTO 40 HORAS'!MOD_1_REMUNERACAO_44H+SUBMOD_2_1_DEC_TERC_ADIC_FERIAS_44H)</f>
        <v>610.92666666666662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5">
      <c r="A38" s="5"/>
      <c r="B38" s="24" t="s">
        <v>13</v>
      </c>
      <c r="C38" s="121" t="s">
        <v>143</v>
      </c>
      <c r="D38" s="107"/>
      <c r="E38" s="38">
        <f>PERC_SAL_EDUCACAO</f>
        <v>2.5</v>
      </c>
      <c r="F38" s="35">
        <f>PERC_SAL_EDUCACAO%*('POSTO 40 HORAS'!MOD_1_REMUNERACAO_44H+SUBMOD_2_1_DEC_TERC_ADIC_FERIAS_44H)</f>
        <v>76.365833333333327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6.5" customHeight="1" x14ac:dyDescent="0.35">
      <c r="A39" s="5"/>
      <c r="B39" s="24" t="s">
        <v>15</v>
      </c>
      <c r="C39" s="106" t="s">
        <v>144</v>
      </c>
      <c r="D39" s="107"/>
      <c r="E39" s="32">
        <f>PERC_RAT</f>
        <v>6</v>
      </c>
      <c r="F39" s="33">
        <f>PERC_RAT%*('POSTO 40 HORAS'!MOD_1_REMUNERACAO_44H+SUBMOD_2_1_DEC_TERC_ADIC_FERIAS_44H)</f>
        <v>183.27799999999999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6.5" customHeight="1" x14ac:dyDescent="0.35">
      <c r="A40" s="5"/>
      <c r="B40" s="24" t="s">
        <v>17</v>
      </c>
      <c r="C40" s="121" t="s">
        <v>145</v>
      </c>
      <c r="D40" s="107"/>
      <c r="E40" s="34">
        <f>PERC_SESC</f>
        <v>1.5</v>
      </c>
      <c r="F40" s="35">
        <f>PERC_SESC%*('POSTO 40 HORAS'!MOD_1_REMUNERACAO_44H+SUBMOD_2_1_DEC_TERC_ADIC_FERIAS_44H)</f>
        <v>45.819499999999998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19</v>
      </c>
      <c r="C41" s="106" t="s">
        <v>146</v>
      </c>
      <c r="D41" s="107"/>
      <c r="E41" s="32">
        <f>PERC_SENAC</f>
        <v>1</v>
      </c>
      <c r="F41" s="33">
        <f>PERC_SENAC%*('POSTO 40 HORAS'!MOD_1_REMUNERACAO_44H+SUBMOD_2_1_DEC_TERC_ADIC_FERIAS_44H)</f>
        <v>30.546333333333333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42</v>
      </c>
      <c r="C42" s="121" t="s">
        <v>147</v>
      </c>
      <c r="D42" s="107"/>
      <c r="E42" s="38">
        <f>PERC_SEBRAE</f>
        <v>0.6</v>
      </c>
      <c r="F42" s="35">
        <f>PERC_SEBRAE%*('POSTO 40 HORAS'!MOD_1_REMUNERACAO_44H+SUBMOD_2_1_DEC_TERC_ADIC_FERIAS_44H)</f>
        <v>18.3278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44</v>
      </c>
      <c r="C43" s="106" t="s">
        <v>148</v>
      </c>
      <c r="D43" s="107"/>
      <c r="E43" s="32">
        <f>PERC_INCRA</f>
        <v>0.2</v>
      </c>
      <c r="F43" s="33">
        <f>PERC_INCRA%*('POSTO 40 HORAS'!MOD_1_REMUNERACAO_44H+SUBMOD_2_1_DEC_TERC_ADIC_FERIAS_44H)</f>
        <v>6.1092666666666666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4">
      <c r="A44" s="1"/>
      <c r="B44" s="24" t="s">
        <v>129</v>
      </c>
      <c r="C44" s="121" t="s">
        <v>149</v>
      </c>
      <c r="D44" s="107"/>
      <c r="E44" s="38">
        <f>PERC_FGTS</f>
        <v>8</v>
      </c>
      <c r="F44" s="35">
        <f>PERC_FGTS%*('POSTO 40 HORAS'!MOD_1_REMUNERACAO_44H+SUBMOD_2_1_DEC_TERC_ADIC_FERIAS_44H)</f>
        <v>244.37066666666666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18" t="s">
        <v>150</v>
      </c>
      <c r="C45" s="119"/>
      <c r="D45" s="119"/>
      <c r="E45" s="107"/>
      <c r="F45" s="39">
        <f>SUM(F37:F44)</f>
        <v>1215.7440666666666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4">
      <c r="A46" s="1"/>
      <c r="B46" s="22" t="s">
        <v>52</v>
      </c>
      <c r="C46" s="5"/>
      <c r="D46" s="5"/>
      <c r="E46" s="5"/>
      <c r="F46" s="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4">
      <c r="A47" s="1"/>
      <c r="B47" s="9" t="s">
        <v>53</v>
      </c>
      <c r="C47" s="120" t="s">
        <v>54</v>
      </c>
      <c r="D47" s="119"/>
      <c r="E47" s="107"/>
      <c r="F47" s="24" t="s">
        <v>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7" t="s">
        <v>11</v>
      </c>
      <c r="C48" s="106" t="s">
        <v>56</v>
      </c>
      <c r="D48" s="119"/>
      <c r="E48" s="107"/>
      <c r="F48" s="33">
        <f>IF(((TRANSPORTE_POR_DIA*DIAS_UTEIS_TRABALHADOS_NO_MES_44HORAS)-(PERC_DESC_TRANSP_REMUNERACAO%*('POSTO 40 HORAS'!AL_1_A_SAL_BASE_44H)))&gt;0,((TRANSPORTE_POR_DIA*DIAS_UTEIS_TRABALHADOS_NO_MES_44HORAS)-(PERC_DESC_TRANSP_REMUNERACAO%*('POSTO 40 HORAS'!AL_1_A_SAL_BASE_44H))),0)</f>
        <v>66.049800000000005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36"/>
      <c r="B49" s="7" t="s">
        <v>13</v>
      </c>
      <c r="C49" s="121" t="s">
        <v>58</v>
      </c>
      <c r="D49" s="119"/>
      <c r="E49" s="107"/>
      <c r="F49" s="35">
        <f>IF(AND(ADESAO_AO_PAT="Sim",PERC_PAT&lt;&gt;""),ALIMENTACAO_POR_DIA*DIAS_UTEIS_TRABALHADOS_NO_MES_44HORAS*(100-PERC_PAT)%,IF(AND(ADESAO_AO_PAT="Sim",PERC_PAT=""),"Insira o % do PAT",ALIMENTACAO_POR_DIA*DIAS_UTEIS_TRABALHADOS_NO_MES_44HORAS))</f>
        <v>973.98</v>
      </c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6.5" customHeight="1" x14ac:dyDescent="0.4">
      <c r="A50" s="36"/>
      <c r="B50" s="7" t="s">
        <v>15</v>
      </c>
      <c r="C50" s="124" t="str">
        <f>OUTROS_BENEFICIOS_1_DESCRICAO</f>
        <v>Outros Benefícios 1 (Especificar)</v>
      </c>
      <c r="D50" s="119"/>
      <c r="E50" s="107"/>
      <c r="F50" s="33">
        <f>OUTROS_BENEFICIOS_1</f>
        <v>0</v>
      </c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6.5" customHeight="1" x14ac:dyDescent="0.4">
      <c r="A51" s="36"/>
      <c r="B51" s="7" t="s">
        <v>17</v>
      </c>
      <c r="C51" s="125" t="str">
        <f>OUTROS_BENEFICIOS_2_DESCRICAO</f>
        <v>Outros Benefícios 2 (Especificar)</v>
      </c>
      <c r="D51" s="119"/>
      <c r="E51" s="107"/>
      <c r="F51" s="35">
        <f>OUTROS_BENEFICIOS_2</f>
        <v>0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19</v>
      </c>
      <c r="C52" s="124" t="str">
        <f>OUTROS_BENEFICIOS_3_DESCRICAO</f>
        <v>Outros Benefícios 3 (Especificar)</v>
      </c>
      <c r="D52" s="119"/>
      <c r="E52" s="107"/>
      <c r="F52" s="33">
        <f>OUTROS_BENEFICIOS_3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" customHeight="1" x14ac:dyDescent="0.4">
      <c r="A53" s="36"/>
      <c r="B53" s="120" t="s">
        <v>150</v>
      </c>
      <c r="C53" s="119"/>
      <c r="D53" s="119"/>
      <c r="E53" s="107"/>
      <c r="F53" s="27">
        <f>SUM(F48:F52)</f>
        <v>1040.0298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22" t="s">
        <v>114</v>
      </c>
      <c r="C54" s="29"/>
      <c r="D54" s="30"/>
      <c r="E54" s="31"/>
      <c r="F54" s="31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9">
        <v>3</v>
      </c>
      <c r="C55" s="118" t="s">
        <v>115</v>
      </c>
      <c r="D55" s="107"/>
      <c r="E55" s="24" t="s">
        <v>73</v>
      </c>
      <c r="F55" s="24" t="s">
        <v>80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6.5" customHeight="1" x14ac:dyDescent="0.4">
      <c r="A56" s="36"/>
      <c r="B56" s="9" t="s">
        <v>11</v>
      </c>
      <c r="C56" s="122" t="s">
        <v>151</v>
      </c>
      <c r="D56" s="107"/>
      <c r="E56" s="32">
        <f>PERC_AVISO_PREVIO_IND</f>
        <v>0.29105124999999998</v>
      </c>
      <c r="F56" s="33">
        <f>PERC_AVISO_PREVIO_IND%*('POSTO 40 HORAS'!MOD_1_REMUNERACAO_44H+SUBMOD_2_1_DEC_TERC_ADIC_FERIAS_44H)</f>
        <v>8.8905484995833319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6.5" customHeight="1" x14ac:dyDescent="0.4">
      <c r="A57" s="36"/>
      <c r="B57" s="24" t="s">
        <v>13</v>
      </c>
      <c r="C57" s="117" t="s">
        <v>153</v>
      </c>
      <c r="D57" s="107"/>
      <c r="E57" s="38">
        <f>INCID_FGTS_SOBRE_API</f>
        <v>2.3284099999999999E-2</v>
      </c>
      <c r="F57" s="35">
        <f>INCID_FGTS_SOBRE_API%*('POSTO 40 HORAS'!MOD_1_REMUNERACAO_44H+SUBMOD_2_1_DEC_TERC_ADIC_FERIAS_44H)</f>
        <v>0.7112438799666666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35">
      <c r="A58" s="5"/>
      <c r="B58" s="24" t="s">
        <v>15</v>
      </c>
      <c r="C58" s="122" t="s">
        <v>155</v>
      </c>
      <c r="D58" s="107"/>
      <c r="E58" s="32">
        <f>PERC_MULTA_FGTS_AV_PREV_IND</f>
        <v>0.11176368</v>
      </c>
      <c r="F58" s="33">
        <f>PERC_MULTA_FGTS_AV_PREV_IND%*('POSTO 40 HORAS'!MOD_1_REMUNERACAO_44H+SUBMOD_2_1_DEC_TERC_ADIC_FERIAS_44H)</f>
        <v>3.4139706238400001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6.5" customHeight="1" x14ac:dyDescent="0.35">
      <c r="A59" s="5"/>
      <c r="B59" s="24" t="s">
        <v>17</v>
      </c>
      <c r="C59" s="117" t="s">
        <v>157</v>
      </c>
      <c r="D59" s="107"/>
      <c r="E59" s="38">
        <f>PERC_AVISO_PREVIO_TRAB</f>
        <v>1.1557269305555555</v>
      </c>
      <c r="F59" s="35">
        <f>PERC_AVISO_PREVIO_TRAB%*('POSTO 40 HORAS'!MOD_1_REMUNERACAO_44H+SUBMOD_2_1_DEC_TERC_ADIC_FERIAS_44H)</f>
        <v>35.303220063060181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35">
      <c r="A60" s="5"/>
      <c r="B60" s="24" t="s">
        <v>19</v>
      </c>
      <c r="C60" s="122" t="s">
        <v>159</v>
      </c>
      <c r="D60" s="107"/>
      <c r="E60" s="32">
        <f>INCID_SUBMOD_2_2_APT</f>
        <v>0.45997931836111106</v>
      </c>
      <c r="F60" s="33">
        <f>INCID_SUBMOD_2_2_APT%*('POSTO 40 HORAS'!MOD_1_REMUNERACAO_44H+SUBMOD_2_1_DEC_TERC_ADIC_FERIAS_44H)</f>
        <v>14.050681585097951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6.5" customHeight="1" x14ac:dyDescent="0.35">
      <c r="A61" s="5"/>
      <c r="B61" s="24" t="s">
        <v>42</v>
      </c>
      <c r="C61" s="117" t="s">
        <v>161</v>
      </c>
      <c r="D61" s="107"/>
      <c r="E61" s="38">
        <f>PERC_MULTA_FGTS_AV_PREV_TRAB</f>
        <v>1.9019963200000001</v>
      </c>
      <c r="F61" s="35">
        <f>PERC_MULTA_FGTS_AV_PREV_TRAB%*('POSTO 40 HORAS'!MOD_1_REMUNERACAO_44H+SUBMOD_2_1_DEC_TERC_ADIC_FERIAS_44H)</f>
        <v>58.099013589493332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6.5" customHeight="1" x14ac:dyDescent="0.4">
      <c r="A62" s="5"/>
      <c r="B62" s="118" t="s">
        <v>150</v>
      </c>
      <c r="C62" s="119"/>
      <c r="D62" s="119"/>
      <c r="E62" s="107"/>
      <c r="F62" s="37">
        <f>SUM(F56:F61)</f>
        <v>120.46867824104146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7.5" customHeight="1" x14ac:dyDescent="0.4">
      <c r="A63" s="1"/>
      <c r="B63" s="40"/>
      <c r="C63" s="1"/>
      <c r="D63" s="41"/>
      <c r="E63" s="23"/>
      <c r="F63" s="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4">
      <c r="A64" s="5"/>
      <c r="B64" s="22" t="s">
        <v>69</v>
      </c>
      <c r="C64" s="29"/>
      <c r="D64" s="30"/>
      <c r="E64" s="1"/>
      <c r="F64" s="1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4">
      <c r="A65" s="5"/>
      <c r="B65" s="22" t="s">
        <v>70</v>
      </c>
      <c r="C65" s="29"/>
      <c r="D65" s="30"/>
      <c r="E65" s="31"/>
      <c r="F65" s="31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9" t="s">
        <v>71</v>
      </c>
      <c r="C66" s="120" t="s">
        <v>72</v>
      </c>
      <c r="D66" s="107"/>
      <c r="E66" s="24" t="s">
        <v>73</v>
      </c>
      <c r="F66" s="24" t="s">
        <v>80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24" t="s">
        <v>11</v>
      </c>
      <c r="C67" s="106" t="s">
        <v>163</v>
      </c>
      <c r="D67" s="107"/>
      <c r="E67" s="32">
        <f>PERC_SUBSTITUTO_FERIAS</f>
        <v>8.3333333333333321</v>
      </c>
      <c r="F67" s="33">
        <f>PERC_SUBSTITUTO_FERIAS%*('POSTO 40 HORAS'!MOD_1_REMUNERACAO_44H+'POSTO 40 HORAS'!MOD_2_ENCARGOS_BENEFICIOS_44H)</f>
        <v>442.53393333333321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24" t="s">
        <v>13</v>
      </c>
      <c r="C68" s="121" t="s">
        <v>165</v>
      </c>
      <c r="D68" s="107"/>
      <c r="E68" s="38">
        <f>PERC_SUBSTITUTO_AUSENCIAS_LEGAIS</f>
        <v>2.2222222222222223</v>
      </c>
      <c r="F68" s="35">
        <f>PERC_SUBSTITUTO_AUSENCIAS_LEGAIS%*('POSTO 40 HORAS'!MOD_1_REMUNERACAO_44H+'POSTO 40 HORAS'!MOD_2_ENCARGOS_BENEFICIOS_44H)</f>
        <v>118.00904888888888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24" t="s">
        <v>15</v>
      </c>
      <c r="C69" s="106" t="s">
        <v>167</v>
      </c>
      <c r="D69" s="107"/>
      <c r="E69" s="32">
        <f>PERC_SUBSTITUTO_LICENCA_PATERNIDADE</f>
        <v>1.7051833333333329E-2</v>
      </c>
      <c r="F69" s="33">
        <f>PERC_SUBSTITUTO_LICENCA_PATERNIDADE%*('POSTO 40 HORAS'!MOD_1_REMUNERACAO_44H+'POSTO 40 HORAS'!MOD_2_ENCARGOS_BENEFICIOS_44H)</f>
        <v>0.90552178506533298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35">
      <c r="A70" s="5"/>
      <c r="B70" s="24" t="s">
        <v>17</v>
      </c>
      <c r="C70" s="121" t="s">
        <v>169</v>
      </c>
      <c r="D70" s="107"/>
      <c r="E70" s="38">
        <f>PERC_SUBSTITUTO_ACID_TRAB</f>
        <v>1.85302229372558E-2</v>
      </c>
      <c r="F70" s="35">
        <f>PERC_SUBSTITUTO_ACID_TRAB%*('POSTO 40 HORAS'!MOD_1_REMUNERACAO_44H+'POSTO 40 HORAS'!MOD_2_ENCARGOS_BENEFICIOS_44H)</f>
        <v>0.98403029303608336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6.5" customHeight="1" x14ac:dyDescent="0.35">
      <c r="A71" s="5"/>
      <c r="B71" s="24" t="s">
        <v>19</v>
      </c>
      <c r="C71" s="106" t="s">
        <v>171</v>
      </c>
      <c r="D71" s="107"/>
      <c r="E71" s="32">
        <f>PERC_SUBSTITUTO_AFAST_MATERN</f>
        <v>2.5507554666666658E-2</v>
      </c>
      <c r="F71" s="33">
        <f>PERC_SUBSTITUTO_AFAST_MATERN%*('POSTO 40 HORAS'!MOD_1_REMUNERACAO_44H+'POSTO 40 HORAS'!MOD_2_ENCARGOS_BENEFICIOS_44H)</f>
        <v>1.3545550195626022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24" t="s">
        <v>42</v>
      </c>
      <c r="C72" s="143" t="str">
        <f>OUTRAS_AUSENCIAS_DESCRICAO</f>
        <v>Outras Ausências (Especificar em %)</v>
      </c>
      <c r="D72" s="107"/>
      <c r="E72" s="42">
        <f>PERC_SUBSTITUTO_OUTRAS_AUSENCIAS</f>
        <v>0</v>
      </c>
      <c r="F72" s="35">
        <f>PERC_SUBSTITUTO_OUTRAS_AUSENCIAS%*('POSTO 40 HORAS'!MOD_1_REMUNERACAO_44H+'POSTO 40 HORAS'!MOD_2_ENCARGOS_BENEFICIOS_44H)</f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6.5" customHeight="1" x14ac:dyDescent="0.4">
      <c r="A73" s="5"/>
      <c r="B73" s="118" t="s">
        <v>150</v>
      </c>
      <c r="C73" s="119"/>
      <c r="D73" s="119"/>
      <c r="E73" s="107"/>
      <c r="F73" s="37">
        <f>SUM(F67:F72)</f>
        <v>563.78708931988615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7.5" customHeight="1" x14ac:dyDescent="0.4">
      <c r="A74" s="1"/>
      <c r="B74" s="40"/>
      <c r="C74" s="1"/>
      <c r="D74" s="41"/>
      <c r="E74" s="23"/>
      <c r="F74" s="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22" t="s">
        <v>78</v>
      </c>
      <c r="C75" s="29"/>
      <c r="D75" s="29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4">
      <c r="A76" s="1"/>
      <c r="B76" s="43">
        <v>5</v>
      </c>
      <c r="C76" s="112" t="s">
        <v>79</v>
      </c>
      <c r="D76" s="109"/>
      <c r="E76" s="110"/>
      <c r="F76" s="44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45" t="s">
        <v>11</v>
      </c>
      <c r="C77" s="108" t="s">
        <v>81</v>
      </c>
      <c r="D77" s="109"/>
      <c r="E77" s="110"/>
      <c r="F77" s="46">
        <f>UNIFORMES</f>
        <v>129.87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45" t="s">
        <v>13</v>
      </c>
      <c r="C78" s="116" t="s">
        <v>82</v>
      </c>
      <c r="D78" s="109"/>
      <c r="E78" s="110"/>
      <c r="F78" s="47">
        <f>MATERIAIS</f>
        <v>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45" t="s">
        <v>15</v>
      </c>
      <c r="C79" s="108" t="s">
        <v>83</v>
      </c>
      <c r="D79" s="109"/>
      <c r="E79" s="110"/>
      <c r="F79" s="46">
        <f>EQUIPAMENTOS</f>
        <v>0.52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45" t="s">
        <v>17</v>
      </c>
      <c r="C80" s="111" t="str">
        <f>OUTROS_INSUMOS_DESCRICAO</f>
        <v>EPI</v>
      </c>
      <c r="D80" s="109"/>
      <c r="E80" s="110"/>
      <c r="F80" s="47">
        <f>OUTROS_INSUMOS</f>
        <v>17.260000000000002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12" t="s">
        <v>150</v>
      </c>
      <c r="C81" s="109"/>
      <c r="D81" s="109"/>
      <c r="E81" s="110"/>
      <c r="F81" s="48">
        <f>SUM(F77:F80)</f>
        <v>147.65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4">
      <c r="A82" s="1"/>
      <c r="B82" s="40"/>
      <c r="C82" s="1"/>
      <c r="D82" s="41"/>
      <c r="E82" s="23"/>
      <c r="F82" s="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4">
      <c r="A83" s="1"/>
      <c r="B83" s="113" t="s">
        <v>84</v>
      </c>
      <c r="C83" s="114"/>
      <c r="D83" s="114"/>
      <c r="E83" s="114"/>
      <c r="F83" s="115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9">
        <v>6</v>
      </c>
      <c r="C84" s="118" t="s">
        <v>85</v>
      </c>
      <c r="D84" s="107"/>
      <c r="E84" s="24" t="s">
        <v>73</v>
      </c>
      <c r="F84" s="24" t="s">
        <v>80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9" t="s">
        <v>11</v>
      </c>
      <c r="C85" s="106" t="s">
        <v>86</v>
      </c>
      <c r="D85" s="107"/>
      <c r="E85" s="49">
        <f>PERC_CUSTOS_INDIRETOS</f>
        <v>4.7300000000000004</v>
      </c>
      <c r="F85" s="33">
        <f>PERC_CUSTOS_INDIRETOS%*('POSTO 40 HORAS'!MOD_1_REMUNERACAO_44H+'POSTO 40 HORAS'!MOD_2_ENCARGOS_BENEFICIOS_44H+'POSTO 40 HORAS'!MOD_3_PROVISAO_RESCISAO_44H+'POSTO 40 HORAS'!MOD_4_CUSTO_REPOSICAO_44H+'POSTO 40 HORAS'!MOD_5_INSUMOS_44H)</f>
        <v>290.53140336563189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24" t="s">
        <v>13</v>
      </c>
      <c r="C86" s="121" t="s">
        <v>87</v>
      </c>
      <c r="D86" s="107"/>
      <c r="E86" s="50">
        <f>PERC_LUCRO</f>
        <v>5.57</v>
      </c>
      <c r="F86" s="35">
        <f>PERC_LUCRO%*('POSTO 40 HORAS'!MOD_1_REMUNERACAO_44H+'POSTO 40 HORAS'!MOD_2_ENCARGOS_BENEFICIOS_44H+'POSTO 40 HORAS'!MOD_3_PROVISAO_RESCISAO_44H+'POSTO 40 HORAS'!MOD_4_CUSTO_REPOSICAO_44H+'POSTO 40 HORAS'!MOD_5_INSUMOS_44H+'POSTO 40 HORAS'!AL_6_A_CUSTOS_INDIRETOS_44H)</f>
        <v>358.30943146060935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24" t="s">
        <v>15</v>
      </c>
      <c r="C87" s="106" t="s">
        <v>188</v>
      </c>
      <c r="D87" s="107"/>
      <c r="E87" s="49">
        <f t="shared" ref="E87:F87" si="0">SUM(E88:E90)</f>
        <v>8.65</v>
      </c>
      <c r="F87" s="33">
        <f t="shared" si="0"/>
        <v>643.05944598411622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4">
      <c r="A88" s="1"/>
      <c r="B88" s="51" t="s">
        <v>88</v>
      </c>
      <c r="C88" s="141" t="s">
        <v>89</v>
      </c>
      <c r="D88" s="107"/>
      <c r="E88" s="52">
        <f>PERC_PIS</f>
        <v>0.65</v>
      </c>
      <c r="F88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HORAS'!AL_6_B_LUCRO_44H)*PERC_PIS%)/(1-'POSTO 40 HORAS'!PERC_TRIBUTOS%)</f>
        <v>48.322386114413355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51" t="s">
        <v>90</v>
      </c>
      <c r="C89" s="142" t="s">
        <v>91</v>
      </c>
      <c r="D89" s="107"/>
      <c r="E89" s="54">
        <f>PERC_COFINS</f>
        <v>3</v>
      </c>
      <c r="F89" s="55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HORAS'!AL_6_B_LUCRO_44H)*PERC_COFINS%)/(1-'POSTO 40 HORAS'!PERC_TRIBUTOS%)</f>
        <v>223.02639745113854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56"/>
      <c r="B90" s="51" t="s">
        <v>92</v>
      </c>
      <c r="C90" s="141" t="s">
        <v>93</v>
      </c>
      <c r="D90" s="107"/>
      <c r="E90" s="52">
        <f>PERC_ISS</f>
        <v>5</v>
      </c>
      <c r="F90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HORAS'!AL_6_B_LUCRO_44H)*PERC_ISS%)/(1-'POSTO 40 HORAS'!PERC_TRIBUTOS%)</f>
        <v>371.71066241856431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6.5" customHeight="1" x14ac:dyDescent="0.4">
      <c r="A91" s="56"/>
      <c r="B91" s="118" t="s">
        <v>150</v>
      </c>
      <c r="C91" s="119"/>
      <c r="D91" s="119"/>
      <c r="E91" s="107"/>
      <c r="F91" s="57">
        <f>'POSTO 40 HORAS'!AL_6_A_CUSTOS_INDIRETOS_44H+'POSTO 40 HORAS'!AL_6_B_LUCRO_44H+'POSTO 40 HORAS'!AL_6_C_TRIBUTOS_44H</f>
        <v>1291.9002808103573</v>
      </c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6.5" customHeight="1" x14ac:dyDescent="0.4">
      <c r="A92" s="56"/>
      <c r="B92" s="58" t="s">
        <v>189</v>
      </c>
      <c r="C92" s="59"/>
      <c r="D92" s="59"/>
      <c r="E92" s="59"/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6.5" customHeight="1" x14ac:dyDescent="0.4">
      <c r="A93" s="61"/>
      <c r="B93" s="24" t="s">
        <v>190</v>
      </c>
      <c r="C93" s="120" t="s">
        <v>191</v>
      </c>
      <c r="D93" s="119"/>
      <c r="E93" s="107"/>
      <c r="F93" s="24" t="s">
        <v>192</v>
      </c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6.5" customHeight="1" x14ac:dyDescent="0.4">
      <c r="A94" s="56"/>
      <c r="B94" s="9">
        <v>1</v>
      </c>
      <c r="C94" s="106" t="s">
        <v>35</v>
      </c>
      <c r="D94" s="119"/>
      <c r="E94" s="107"/>
      <c r="F94" s="33">
        <f>'POSTO 40 HORAS'!MOD_1_REMUNERACAO_44H</f>
        <v>2749.17</v>
      </c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6.5" customHeight="1" x14ac:dyDescent="0.4">
      <c r="A95" s="62"/>
      <c r="B95" s="24">
        <v>2</v>
      </c>
      <c r="C95" s="121" t="s">
        <v>193</v>
      </c>
      <c r="D95" s="119"/>
      <c r="E95" s="107"/>
      <c r="F95" s="35">
        <f>'POSTO 40 HORAS'!MOD_2_ENCARGOS_BENEFICIOS_44H</f>
        <v>2561.2372</v>
      </c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6.5" customHeight="1" x14ac:dyDescent="0.4">
      <c r="A96" s="62"/>
      <c r="B96" s="24">
        <v>3</v>
      </c>
      <c r="C96" s="106" t="s">
        <v>115</v>
      </c>
      <c r="D96" s="119"/>
      <c r="E96" s="107"/>
      <c r="F96" s="33">
        <f>'POSTO 40 HORAS'!MOD_3_PROVISAO_RESCISAO_44H</f>
        <v>120.46867824104146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6.5" customHeight="1" x14ac:dyDescent="0.4">
      <c r="A97" s="62"/>
      <c r="B97" s="24">
        <v>4</v>
      </c>
      <c r="C97" s="121" t="s">
        <v>194</v>
      </c>
      <c r="D97" s="119"/>
      <c r="E97" s="107"/>
      <c r="F97" s="35">
        <f>'POSTO 40 HORAS'!MOD_4_CUSTO_REPOSICAO_44H</f>
        <v>563.78708931988615</v>
      </c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6.5" customHeight="1" x14ac:dyDescent="0.4">
      <c r="A98" s="62"/>
      <c r="B98" s="24">
        <v>5</v>
      </c>
      <c r="C98" s="106" t="s">
        <v>79</v>
      </c>
      <c r="D98" s="119"/>
      <c r="E98" s="107"/>
      <c r="F98" s="33">
        <f>'POSTO 40 HORAS'!MOD_5_INSUMOS_44H</f>
        <v>147.65</v>
      </c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6.5" customHeight="1" x14ac:dyDescent="0.4">
      <c r="A99" s="62"/>
      <c r="B99" s="24">
        <v>6</v>
      </c>
      <c r="C99" s="121" t="s">
        <v>85</v>
      </c>
      <c r="D99" s="119"/>
      <c r="E99" s="107"/>
      <c r="F99" s="35">
        <f>'POSTO 40 HORAS'!MOD_6_CUSTOS_IND_LUCRO_TRIB_44H</f>
        <v>1291.9002808103573</v>
      </c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6.5" customHeight="1" x14ac:dyDescent="0.4">
      <c r="A100" s="1"/>
      <c r="B100" s="120" t="s">
        <v>195</v>
      </c>
      <c r="C100" s="119"/>
      <c r="D100" s="119"/>
      <c r="E100" s="107"/>
      <c r="F100" s="57">
        <f>SUM(F94:F99)</f>
        <v>7434.2132483712849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20" t="s">
        <v>196</v>
      </c>
      <c r="C101" s="119"/>
      <c r="D101" s="119"/>
      <c r="E101" s="107"/>
      <c r="F101" s="57">
        <f>'POSTO 40 HORAS'!VALOR_TOTAL_EMPREGADO_44H*EMPREG_POR_POSTO</f>
        <v>7434.2132483712849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20" t="s">
        <v>197</v>
      </c>
      <c r="C102" s="119"/>
      <c r="D102" s="119"/>
      <c r="E102" s="107"/>
      <c r="F102" s="57">
        <f>'POSTO 40 HORAS'!VALOR_TOTAL_EMPREGADO_44H*EMPREG_POR_POSTO*'POSTO 40 HORAS'!QTDE_POSTOS</f>
        <v>7434.2132483712849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 t="s">
        <v>173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4:D44"/>
    <mergeCell ref="B45:E45"/>
    <mergeCell ref="C47:E47"/>
    <mergeCell ref="C48:E48"/>
    <mergeCell ref="C49:E49"/>
    <mergeCell ref="C59:D59"/>
    <mergeCell ref="C60:D60"/>
    <mergeCell ref="C50:E50"/>
    <mergeCell ref="C51:E51"/>
    <mergeCell ref="C52:E52"/>
    <mergeCell ref="B53:E53"/>
    <mergeCell ref="C55:D55"/>
    <mergeCell ref="C84:D84"/>
    <mergeCell ref="C85:D85"/>
    <mergeCell ref="C86:D86"/>
    <mergeCell ref="C69:D69"/>
    <mergeCell ref="C70:D70"/>
    <mergeCell ref="C71:D71"/>
    <mergeCell ref="C72:D72"/>
    <mergeCell ref="B73:E73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95:E95"/>
    <mergeCell ref="C96:E96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  <mergeCell ref="C10:E10"/>
    <mergeCell ref="C11:E11"/>
    <mergeCell ref="C12:E12"/>
    <mergeCell ref="C14:D14"/>
    <mergeCell ref="E14:F14"/>
    <mergeCell ref="D15:F15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6:E26"/>
    <mergeCell ref="C27:E27"/>
    <mergeCell ref="B28:E28"/>
    <mergeCell ref="C31:D31"/>
    <mergeCell ref="C32:D32"/>
    <mergeCell ref="C33:D33"/>
    <mergeCell ref="B34:E34"/>
    <mergeCell ref="B35:F35"/>
    <mergeCell ref="C36:D36"/>
    <mergeCell ref="C37:D37"/>
    <mergeCell ref="C38:D38"/>
    <mergeCell ref="C39:D39"/>
    <mergeCell ref="C40:D40"/>
    <mergeCell ref="C41:D41"/>
    <mergeCell ref="C42:D42"/>
    <mergeCell ref="C43:D43"/>
    <mergeCell ref="C79:E79"/>
    <mergeCell ref="C80:E80"/>
    <mergeCell ref="B81:E81"/>
    <mergeCell ref="B83:F83"/>
    <mergeCell ref="C76:E76"/>
    <mergeCell ref="C77:E77"/>
    <mergeCell ref="C78:E78"/>
    <mergeCell ref="C61:D61"/>
    <mergeCell ref="B62:E62"/>
    <mergeCell ref="C66:D66"/>
    <mergeCell ref="C67:D67"/>
    <mergeCell ref="C68:D68"/>
    <mergeCell ref="C56:D56"/>
    <mergeCell ref="C57:D57"/>
    <mergeCell ref="C58:D58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40 HORAS</vt:lpstr>
      <vt:lpstr>ACORDO_COLETIVO</vt:lpstr>
      <vt:lpstr>ADESAO_AO_PAT</vt:lpstr>
      <vt:lpstr>'POSTO 12x36 HORAS'!AL_1_A_SAL_BASE_12x36</vt:lpstr>
      <vt:lpstr>'POSTO 40 HORAS'!AL_1_A_SAL_BASE_44H</vt:lpstr>
      <vt:lpstr>'POSTO 12x36 HORAS'!AL_1_B_ADIC_PERIC_12x36</vt:lpstr>
      <vt:lpstr>'POSTO 40 HORAS'!AL_1_B_ADIC_PERIC_44H</vt:lpstr>
      <vt:lpstr>'POSTO 12x36 HORAS'!AL_1_C_ADIC_NOT_12x36</vt:lpstr>
      <vt:lpstr>'POSTO 12x36 HORAS'!AL_1_D_ADIC_NOT_RED_12x36</vt:lpstr>
      <vt:lpstr>'POSTO 12x36 HORAS'!AL_2_1_A_DEC_TERC_12x36</vt:lpstr>
      <vt:lpstr>'POSTO 40 HORAS'!AL_2_1_A_DEC_TERC_44H</vt:lpstr>
      <vt:lpstr>'POSTO 12x36 HORAS'!AL_2_1_B_ADIC_FERIAS_12x36</vt:lpstr>
      <vt:lpstr>'POSTO 40 HORAS'!AL_2_1_B_ADIC_FERIAS_44H</vt:lpstr>
      <vt:lpstr>'POSTO 12x36 HORAS'!AL_2_2_FGTS_12x36</vt:lpstr>
      <vt:lpstr>'POSTO 40 HORAS'!AL_2_2_FGTS_44H</vt:lpstr>
      <vt:lpstr>'POSTO 12x36 HORAS'!AL_2_3_A_TRANSP_12x36</vt:lpstr>
      <vt:lpstr>'POSTO 40 HORAS'!AL_2_3_A_TRANSP_44H</vt:lpstr>
      <vt:lpstr>'POSTO 12x36 HORAS'!AL_2_3_B_AUX_ALIMENT_12x36</vt:lpstr>
      <vt:lpstr>'POSTO 40 HORAS'!AL_2_3_B_AUX_ALIMENT_44H</vt:lpstr>
      <vt:lpstr>'POSTO 12x36 HORAS'!AL_2_3_C_OUTROS_BENEF_12x36</vt:lpstr>
      <vt:lpstr>'POSTO 40 HORAS'!AL_2_3_C_OUTROS_BENEF_44H</vt:lpstr>
      <vt:lpstr>'POSTO 12x36 HORAS'!AL_2_A_ATE_2_G_GPS_12x36</vt:lpstr>
      <vt:lpstr>'POSTO 40 HORAS'!AL_2_A_ATE_2_G_GPS_44H</vt:lpstr>
      <vt:lpstr>'POSTO 12x36 HORAS'!AL_6_A_CUSTOS_INDIRETOS_12x36</vt:lpstr>
      <vt:lpstr>'POSTO 40 HORAS'!AL_6_A_CUSTOS_INDIRETOS_44H</vt:lpstr>
      <vt:lpstr>'POSTO 12x36 HORAS'!AL_6_B_LUCRO_12x36</vt:lpstr>
      <vt:lpstr>'POSTO 40 HORAS'!AL_6_B_LUCRO_44H</vt:lpstr>
      <vt:lpstr>'POSTO 12x36 HORAS'!AL_6_C_1_PIS_12x36</vt:lpstr>
      <vt:lpstr>'POSTO 40 HORAS'!AL_6_C_1_PIS_44H</vt:lpstr>
      <vt:lpstr>'POSTO 12x36 HORAS'!AL_6_C_2_COFINS_12x36</vt:lpstr>
      <vt:lpstr>'POSTO 40 HORAS'!AL_6_C_2_COFINS_44H</vt:lpstr>
      <vt:lpstr>'POSTO 12x36 HORAS'!AL_6_C_3_ISS_12x36</vt:lpstr>
      <vt:lpstr>'POSTO 40 HORAS'!AL_6_C_3_ISS_44H</vt:lpstr>
      <vt:lpstr>'POSTO 12x36 HORAS'!AL_6_C_TRIBUTOS_12x36</vt:lpstr>
      <vt:lpstr>'POSTO 40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40 HORAS'!MOD_1_REMUNERACAO_44H</vt:lpstr>
      <vt:lpstr>'POSTO 12x36 HORAS'!MOD_3_PROVISAO_RESCISAO_12x36</vt:lpstr>
      <vt:lpstr>'POSTO 40 HORAS'!MOD_3_PROVISAO_RESCISAO_44H</vt:lpstr>
      <vt:lpstr>'POSTO 40 HORAS'!MOD_4_CUSTO_REPOSICAO_44H</vt:lpstr>
      <vt:lpstr>'POSTO 12x36 HORAS'!MOD_5_INSUMOS_12x36</vt:lpstr>
      <vt:lpstr>'POSTO 40 HORAS'!MOD_5_INSUMOS_44H</vt:lpstr>
      <vt:lpstr>'POSTO 12x36 HORAS'!MOD_6_CUSTOS_IND_LUCRO_TRIB_12x36</vt:lpstr>
      <vt:lpstr>'POSTO 40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40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40 HORAS'!PERC_TRIBUTOS</vt:lpstr>
      <vt:lpstr>'POSTO 12x36 HORAS'!QTDE_POSTOS</vt:lpstr>
      <vt:lpstr>'POSTO 40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40 HORAS'!SUBMOD_2_2_GPS_FGTS_44H</vt:lpstr>
      <vt:lpstr>'POSTO 12x36 HORAS'!SUBMOD_2_3_BENEFICIOS_12x36</vt:lpstr>
      <vt:lpstr>'POSTO 40 HORAS'!SUBMOD_2_3_BENEFICIOS_44H</vt:lpstr>
      <vt:lpstr>SUBMOD_2_4_INTERVALO_INTRAJORNADA_12X36</vt:lpstr>
      <vt:lpstr>'POSTO 12x36 HORAS'!SUBMOD_4_1_SUBSTITUTO_12x36</vt:lpstr>
      <vt:lpstr>'POSTO 40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40 HORAS'!VALOR_TOTAL_EMPREGADO_44H</vt:lpstr>
      <vt:lpstr>'POSTO 12x36 HORAS'!VALOR_TOTAL_POSTO_12x36</vt:lpstr>
      <vt:lpstr>'POSTO 40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dcterms:created xsi:type="dcterms:W3CDTF">2014-02-07T18:14:59Z</dcterms:created>
  <dcterms:modified xsi:type="dcterms:W3CDTF">2026-04-01T14:12:49Z</dcterms:modified>
</cp:coreProperties>
</file>